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108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jpboissel/Documents/Documents ancien ordinateur/Data groupées/articles/articles ND_NC/CT ethical losses/ethicla losses calculs/"/>
    </mc:Choice>
  </mc:AlternateContent>
  <xr:revisionPtr revIDLastSave="0" documentId="13_ncr:1_{695BCAA2-E67D-6B48-98AF-8DDA78C606B3}" xr6:coauthVersionLast="45" xr6:coauthVersionMax="45" xr10:uidLastSave="{00000000-0000-0000-0000-000000000000}"/>
  <bookViews>
    <workbookView xWindow="0" yWindow="460" windowWidth="29440" windowHeight="19200" tabRatio="500" activeTab="7" xr2:uid="{00000000-000D-0000-FFFF-FFFF00000000}"/>
  </bookViews>
  <sheets>
    <sheet name="preliminaries" sheetId="1" r:id="rId1"/>
    <sheet name="théorie" sheetId="12" r:id="rId2"/>
    <sheet name="computations" sheetId="2" r:id="rId3"/>
    <sheet name="plot sample size (2)" sheetId="8" r:id="rId4"/>
    <sheet name="plot sample size" sheetId="3" r:id="rId5"/>
    <sheet name="plot RR" sheetId="4" r:id="rId6"/>
    <sheet name="plot ethical losses" sheetId="5" r:id="rId7"/>
    <sheet name="plot chi-square" sheetId="6" r:id="rId8"/>
    <sheet name="plot p-value" sheetId="9" r:id="rId9"/>
    <sheet name="plot EI vs p-value, RR, SS" sheetId="10" r:id="rId10"/>
    <sheet name="Sheet10" sheetId="11" r:id="rId1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0" i="12" l="1"/>
  <c r="E10" i="12"/>
  <c r="F6" i="12"/>
  <c r="E9" i="12"/>
  <c r="F5" i="12"/>
  <c r="E5" i="12"/>
  <c r="E4" i="12"/>
  <c r="B44" i="2"/>
  <c r="C44" i="2" s="1"/>
  <c r="O13" i="1"/>
  <c r="D1" i="3"/>
  <c r="B1" i="5"/>
  <c r="A1" i="10" s="1"/>
  <c r="D1" i="10" s="1"/>
  <c r="G1" i="10" s="1"/>
  <c r="H1" i="10"/>
  <c r="C1" i="3"/>
  <c r="B1" i="4" s="1"/>
  <c r="E1" i="10" s="1"/>
  <c r="B1" i="9"/>
  <c r="B1" i="10" s="1"/>
  <c r="A42" i="9"/>
  <c r="A2" i="9"/>
  <c r="A1" i="9"/>
  <c r="F1" i="8"/>
  <c r="Q2" i="2"/>
  <c r="B3" i="2" s="1"/>
  <c r="B4" i="2" s="1"/>
  <c r="C42" i="2"/>
  <c r="C2" i="2"/>
  <c r="A42" i="8"/>
  <c r="A2" i="8"/>
  <c r="E1" i="8"/>
  <c r="D1" i="8"/>
  <c r="C1" i="8"/>
  <c r="A1" i="8"/>
  <c r="A2" i="3"/>
  <c r="A2" i="4" s="1"/>
  <c r="E1" i="3"/>
  <c r="B1" i="6" s="1"/>
  <c r="A1" i="3"/>
  <c r="A1" i="6" s="1"/>
  <c r="A42" i="3"/>
  <c r="A42" i="5" s="1"/>
  <c r="C5" i="1"/>
  <c r="E13" i="1" s="1"/>
  <c r="C13" i="1" s="1"/>
  <c r="B5" i="1"/>
  <c r="K2" i="1"/>
  <c r="D4" i="1"/>
  <c r="D3" i="1"/>
  <c r="A3" i="3" l="1"/>
  <c r="A3" i="6" s="1"/>
  <c r="C3" i="2"/>
  <c r="A1" i="4"/>
  <c r="A1" i="5"/>
  <c r="A3" i="8"/>
  <c r="A3" i="4"/>
  <c r="A3" i="5"/>
  <c r="D3" i="2"/>
  <c r="J2" i="1"/>
  <c r="L2" i="1" s="1"/>
  <c r="C14" i="1"/>
  <c r="C15" i="1"/>
  <c r="C32" i="1"/>
  <c r="C42" i="1"/>
  <c r="C21" i="1"/>
  <c r="A2" i="5"/>
  <c r="A2" i="6"/>
  <c r="I2" i="1"/>
  <c r="G13" i="1" s="1"/>
  <c r="F2" i="1"/>
  <c r="C8" i="1"/>
  <c r="F8" i="1" s="1"/>
  <c r="C7" i="1"/>
  <c r="F7" i="1" s="1"/>
  <c r="D42" i="2"/>
  <c r="D5" i="1"/>
  <c r="B7" i="1" s="1"/>
  <c r="E7" i="1" s="1"/>
  <c r="I7" i="1" s="1"/>
  <c r="H2" i="1"/>
  <c r="B8" i="1"/>
  <c r="E8" i="1" s="1"/>
  <c r="G2" i="1"/>
  <c r="C4" i="2"/>
  <c r="D4" i="2" s="1"/>
  <c r="A4" i="3"/>
  <c r="A4" i="9"/>
  <c r="A4" i="8"/>
  <c r="B5" i="2"/>
  <c r="A3" i="9"/>
  <c r="D2" i="2"/>
  <c r="D44" i="2"/>
  <c r="C30" i="1" l="1"/>
  <c r="C31" i="1"/>
  <c r="B32" i="1"/>
  <c r="F3" i="2"/>
  <c r="G3" i="2" s="1"/>
  <c r="E3" i="2"/>
  <c r="B3" i="8"/>
  <c r="E44" i="2"/>
  <c r="F44" i="2"/>
  <c r="E2" i="2"/>
  <c r="B2" i="8" s="1"/>
  <c r="F2" i="2"/>
  <c r="G2" i="2" s="1"/>
  <c r="F42" i="2"/>
  <c r="G42" i="2" s="1"/>
  <c r="E42" i="2"/>
  <c r="B42" i="8" s="1"/>
  <c r="E4" i="2"/>
  <c r="B4" i="3" s="1"/>
  <c r="H4" i="10" s="1"/>
  <c r="B4" i="8"/>
  <c r="F4" i="2"/>
  <c r="G4" i="2" s="1"/>
  <c r="D21" i="1"/>
  <c r="C22" i="1"/>
  <c r="C5" i="2"/>
  <c r="D5" i="2" s="1"/>
  <c r="A5" i="9"/>
  <c r="B6" i="2"/>
  <c r="A5" i="3"/>
  <c r="A5" i="8"/>
  <c r="A4" i="6"/>
  <c r="A4" i="4"/>
  <c r="A4" i="5"/>
  <c r="B42" i="1"/>
  <c r="C40" i="1"/>
  <c r="C41" i="1"/>
  <c r="B42" i="3" l="1"/>
  <c r="B7" i="2"/>
  <c r="A6" i="9"/>
  <c r="C6" i="2"/>
  <c r="D6" i="2" s="1"/>
  <c r="A6" i="8"/>
  <c r="A6" i="3"/>
  <c r="B20" i="1"/>
  <c r="B22" i="1"/>
  <c r="G19" i="1"/>
  <c r="K42" i="2"/>
  <c r="M42" i="2"/>
  <c r="N42" i="2" s="1"/>
  <c r="K3" i="2"/>
  <c r="B3" i="3"/>
  <c r="H3" i="10" s="1"/>
  <c r="K2" i="2"/>
  <c r="D32" i="1"/>
  <c r="G39" i="1"/>
  <c r="F5" i="2"/>
  <c r="G5" i="2" s="1"/>
  <c r="E5" i="2"/>
  <c r="B5" i="3" s="1"/>
  <c r="H5" i="10" s="1"/>
  <c r="A5" i="4"/>
  <c r="A5" i="6"/>
  <c r="A5" i="5"/>
  <c r="D42" i="1"/>
  <c r="K4" i="2"/>
  <c r="B2" i="3"/>
  <c r="H2" i="10" s="1"/>
  <c r="G29" i="1"/>
  <c r="G44" i="2"/>
  <c r="K44" i="2" s="1"/>
  <c r="B5" i="8" l="1"/>
  <c r="D22" i="1"/>
  <c r="C25" i="1" s="1"/>
  <c r="F25" i="1" s="1"/>
  <c r="H44" i="2"/>
  <c r="H5" i="2"/>
  <c r="H2" i="2"/>
  <c r="H4" i="2"/>
  <c r="H42" i="2"/>
  <c r="H3" i="2"/>
  <c r="B40" i="1"/>
  <c r="B30" i="1"/>
  <c r="F19" i="1"/>
  <c r="D20" i="1"/>
  <c r="C24" i="1" s="1"/>
  <c r="F24" i="1" s="1"/>
  <c r="K19" i="1"/>
  <c r="I19" i="1"/>
  <c r="J19" i="1"/>
  <c r="L19" i="1" s="1"/>
  <c r="E6" i="2"/>
  <c r="B6" i="3" s="1"/>
  <c r="H6" i="10" s="1"/>
  <c r="F6" i="2"/>
  <c r="G6" i="2"/>
  <c r="K5" i="2"/>
  <c r="A7" i="3"/>
  <c r="B8" i="2"/>
  <c r="A7" i="9"/>
  <c r="A7" i="8"/>
  <c r="C7" i="2"/>
  <c r="D7" i="2" s="1"/>
  <c r="A6" i="6"/>
  <c r="A6" i="5"/>
  <c r="A6" i="4"/>
  <c r="D42" i="8"/>
  <c r="D42" i="3"/>
  <c r="B42" i="5" s="1"/>
  <c r="I5" i="2"/>
  <c r="H19" i="1"/>
  <c r="B6" i="8" l="1"/>
  <c r="D40" i="1"/>
  <c r="I39" i="1"/>
  <c r="F39" i="1"/>
  <c r="K39" i="1"/>
  <c r="B41" i="1"/>
  <c r="K6" i="2"/>
  <c r="I3" i="2"/>
  <c r="J3" i="2" s="1"/>
  <c r="L3" i="2" s="1"/>
  <c r="M3" i="2"/>
  <c r="N3" i="2" s="1"/>
  <c r="I42" i="2"/>
  <c r="O42" i="2" s="1"/>
  <c r="H6" i="2"/>
  <c r="F7" i="2"/>
  <c r="G7" i="2" s="1"/>
  <c r="E7" i="2"/>
  <c r="B7" i="3" s="1"/>
  <c r="H7" i="10" s="1"/>
  <c r="B24" i="1"/>
  <c r="E24" i="1" s="1"/>
  <c r="I24" i="1" s="1"/>
  <c r="B9" i="2"/>
  <c r="C8" i="2"/>
  <c r="D8" i="2" s="1"/>
  <c r="A8" i="9"/>
  <c r="A8" i="3"/>
  <c r="A8" i="8"/>
  <c r="A7" i="5"/>
  <c r="A7" i="6"/>
  <c r="A7" i="4"/>
  <c r="I4" i="2"/>
  <c r="J4" i="2" s="1"/>
  <c r="L4" i="2" s="1"/>
  <c r="J5" i="2"/>
  <c r="L5" i="2" s="1"/>
  <c r="O5" i="2"/>
  <c r="B25" i="1"/>
  <c r="E25" i="1" s="1"/>
  <c r="I2" i="2"/>
  <c r="O2" i="2" s="1"/>
  <c r="I44" i="2"/>
  <c r="M44" i="2" s="1"/>
  <c r="N44" i="2" s="1"/>
  <c r="M5" i="2"/>
  <c r="N5" i="2" s="1"/>
  <c r="D30" i="1"/>
  <c r="K29" i="1"/>
  <c r="I29" i="1"/>
  <c r="F29" i="1"/>
  <c r="B31" i="1"/>
  <c r="H29" i="1"/>
  <c r="M4" i="2" l="1"/>
  <c r="N4" i="2" s="1"/>
  <c r="B7" i="8"/>
  <c r="J44" i="2"/>
  <c r="L44" i="2" s="1"/>
  <c r="O3" i="2"/>
  <c r="E42" i="8"/>
  <c r="P42" i="2"/>
  <c r="E42" i="3"/>
  <c r="E2" i="8"/>
  <c r="P2" i="2"/>
  <c r="E2" i="3"/>
  <c r="B2" i="6" s="1"/>
  <c r="C4" i="3"/>
  <c r="B4" i="4" s="1"/>
  <c r="E4" i="10" s="1"/>
  <c r="C4" i="8"/>
  <c r="J2" i="2"/>
  <c r="L2" i="2" s="1"/>
  <c r="C5" i="3"/>
  <c r="B5" i="4" s="1"/>
  <c r="E5" i="10" s="1"/>
  <c r="C5" i="8"/>
  <c r="D4" i="3"/>
  <c r="B4" i="5" s="1"/>
  <c r="A4" i="10" s="1"/>
  <c r="D4" i="10" s="1"/>
  <c r="G4" i="10" s="1"/>
  <c r="D4" i="8"/>
  <c r="C3" i="3"/>
  <c r="B3" i="4" s="1"/>
  <c r="E3" i="10" s="1"/>
  <c r="C3" i="8"/>
  <c r="D5" i="3"/>
  <c r="B5" i="5" s="1"/>
  <c r="A5" i="10" s="1"/>
  <c r="D5" i="10" s="1"/>
  <c r="G5" i="10" s="1"/>
  <c r="D5" i="8"/>
  <c r="P3" i="2"/>
  <c r="E3" i="3"/>
  <c r="B3" i="6" s="1"/>
  <c r="E3" i="8"/>
  <c r="I6" i="2"/>
  <c r="M6" i="2" s="1"/>
  <c r="N6" i="2" s="1"/>
  <c r="O4" i="2"/>
  <c r="O44" i="2"/>
  <c r="P44" i="2" s="1"/>
  <c r="H7" i="2"/>
  <c r="K7" i="2"/>
  <c r="D41" i="1"/>
  <c r="J39" i="1"/>
  <c r="L39" i="1" s="1"/>
  <c r="H39" i="1"/>
  <c r="D31" i="1"/>
  <c r="J29" i="1"/>
  <c r="L29" i="1" s="1"/>
  <c r="M2" i="2"/>
  <c r="N2" i="2" s="1"/>
  <c r="J42" i="2"/>
  <c r="L42" i="2" s="1"/>
  <c r="A8" i="6"/>
  <c r="A8" i="5"/>
  <c r="A8" i="4"/>
  <c r="C34" i="1"/>
  <c r="F34" i="1" s="1"/>
  <c r="B34" i="1"/>
  <c r="E34" i="1" s="1"/>
  <c r="E8" i="2"/>
  <c r="B8" i="3"/>
  <c r="H8" i="10" s="1"/>
  <c r="B8" i="8"/>
  <c r="F8" i="2"/>
  <c r="G8" i="2"/>
  <c r="C44" i="1"/>
  <c r="F44" i="1" s="1"/>
  <c r="B44" i="1"/>
  <c r="E44" i="1" s="1"/>
  <c r="P5" i="2"/>
  <c r="E5" i="8"/>
  <c r="E5" i="3"/>
  <c r="B5" i="6" s="1"/>
  <c r="D3" i="3"/>
  <c r="B3" i="5" s="1"/>
  <c r="A3" i="10" s="1"/>
  <c r="D3" i="10" s="1"/>
  <c r="G3" i="10" s="1"/>
  <c r="D3" i="8"/>
  <c r="C9" i="2"/>
  <c r="D9" i="2" s="1"/>
  <c r="B10" i="2"/>
  <c r="A9" i="9"/>
  <c r="A9" i="8"/>
  <c r="A9" i="3"/>
  <c r="J6" i="2" l="1"/>
  <c r="L6" i="2" s="1"/>
  <c r="D6" i="3"/>
  <c r="B6" i="5" s="1"/>
  <c r="A6" i="10" s="1"/>
  <c r="D6" i="10" s="1"/>
  <c r="G6" i="10" s="1"/>
  <c r="D6" i="8"/>
  <c r="C6" i="3"/>
  <c r="B6" i="4" s="1"/>
  <c r="E6" i="10" s="1"/>
  <c r="C6" i="8"/>
  <c r="C35" i="1"/>
  <c r="F35" i="1" s="1"/>
  <c r="B35" i="1"/>
  <c r="E35" i="1" s="1"/>
  <c r="I34" i="1" s="1"/>
  <c r="P4" i="2"/>
  <c r="E4" i="8"/>
  <c r="E4" i="3"/>
  <c r="B4" i="6" s="1"/>
  <c r="E9" i="2"/>
  <c r="B9" i="8" s="1"/>
  <c r="F9" i="2"/>
  <c r="G9" i="2" s="1"/>
  <c r="H8" i="2"/>
  <c r="I8" i="2" s="1"/>
  <c r="C2" i="3"/>
  <c r="B2" i="4" s="1"/>
  <c r="E2" i="10" s="1"/>
  <c r="C2" i="8"/>
  <c r="B11" i="2"/>
  <c r="A10" i="9"/>
  <c r="A10" i="3"/>
  <c r="C10" i="2"/>
  <c r="D10" i="2" s="1"/>
  <c r="A10" i="8"/>
  <c r="O6" i="2"/>
  <c r="B3" i="9"/>
  <c r="B3" i="10" s="1"/>
  <c r="F3" i="8"/>
  <c r="F2" i="8"/>
  <c r="B2" i="9"/>
  <c r="B2" i="10" s="1"/>
  <c r="B5" i="9"/>
  <c r="B5" i="10" s="1"/>
  <c r="F5" i="8"/>
  <c r="C45" i="1"/>
  <c r="F45" i="1" s="1"/>
  <c r="B45" i="1"/>
  <c r="E45" i="1" s="1"/>
  <c r="I44" i="1" s="1"/>
  <c r="C42" i="8"/>
  <c r="C42" i="3"/>
  <c r="D2" i="3"/>
  <c r="B2" i="5" s="1"/>
  <c r="A2" i="10" s="1"/>
  <c r="D2" i="10" s="1"/>
  <c r="G2" i="10" s="1"/>
  <c r="D2" i="8"/>
  <c r="F42" i="8"/>
  <c r="B42" i="9"/>
  <c r="A9" i="6"/>
  <c r="A9" i="5"/>
  <c r="A9" i="4"/>
  <c r="K8" i="2"/>
  <c r="I7" i="2"/>
  <c r="M7" i="2" s="1"/>
  <c r="N7" i="2" s="1"/>
  <c r="B9" i="3" l="1"/>
  <c r="H9" i="10" s="1"/>
  <c r="O7" i="2"/>
  <c r="D7" i="3"/>
  <c r="B7" i="5" s="1"/>
  <c r="A7" i="10" s="1"/>
  <c r="D7" i="10" s="1"/>
  <c r="G7" i="10" s="1"/>
  <c r="D7" i="8"/>
  <c r="J7" i="2"/>
  <c r="L7" i="2" s="1"/>
  <c r="E10" i="2"/>
  <c r="B10" i="8" s="1"/>
  <c r="F10" i="2"/>
  <c r="P7" i="2"/>
  <c r="E7" i="8"/>
  <c r="E7" i="3"/>
  <c r="B7" i="6" s="1"/>
  <c r="A10" i="5"/>
  <c r="A10" i="6"/>
  <c r="A10" i="4"/>
  <c r="C11" i="2"/>
  <c r="D11" i="2" s="1"/>
  <c r="A11" i="3"/>
  <c r="B12" i="2"/>
  <c r="A11" i="9"/>
  <c r="A11" i="8"/>
  <c r="F4" i="8"/>
  <c r="B4" i="9"/>
  <c r="B4" i="10" s="1"/>
  <c r="J8" i="2"/>
  <c r="L8" i="2" s="1"/>
  <c r="O8" i="2"/>
  <c r="E6" i="3"/>
  <c r="B6" i="6" s="1"/>
  <c r="E6" i="8"/>
  <c r="P6" i="2"/>
  <c r="K9" i="2"/>
  <c r="M8" i="2"/>
  <c r="N8" i="2" s="1"/>
  <c r="H9" i="2"/>
  <c r="C8" i="3" l="1"/>
  <c r="B8" i="4" s="1"/>
  <c r="E8" i="10" s="1"/>
  <c r="C8" i="8"/>
  <c r="B7" i="9"/>
  <c r="B7" i="10" s="1"/>
  <c r="F7" i="8"/>
  <c r="H10" i="2"/>
  <c r="P8" i="2"/>
  <c r="E8" i="8"/>
  <c r="E8" i="3"/>
  <c r="B8" i="6" s="1"/>
  <c r="G10" i="2"/>
  <c r="K10" i="2" s="1"/>
  <c r="B10" i="3"/>
  <c r="H10" i="10" s="1"/>
  <c r="D8" i="3"/>
  <c r="B8" i="5" s="1"/>
  <c r="A8" i="10" s="1"/>
  <c r="D8" i="10" s="1"/>
  <c r="G8" i="10" s="1"/>
  <c r="D8" i="8"/>
  <c r="A12" i="9"/>
  <c r="A12" i="8"/>
  <c r="B13" i="2"/>
  <c r="C12" i="2"/>
  <c r="D12" i="2" s="1"/>
  <c r="A12" i="3"/>
  <c r="C7" i="3"/>
  <c r="B7" i="4" s="1"/>
  <c r="E7" i="10" s="1"/>
  <c r="C7" i="8"/>
  <c r="F11" i="2"/>
  <c r="G11" i="2"/>
  <c r="E11" i="2"/>
  <c r="B11" i="8" s="1"/>
  <c r="A11" i="5"/>
  <c r="A11" i="6"/>
  <c r="A11" i="4"/>
  <c r="B6" i="9"/>
  <c r="B6" i="10" s="1"/>
  <c r="F6" i="8"/>
  <c r="I9" i="2"/>
  <c r="O9" i="2" s="1"/>
  <c r="M9" i="2" l="1"/>
  <c r="N9" i="2" s="1"/>
  <c r="E9" i="3"/>
  <c r="B9" i="6" s="1"/>
  <c r="P9" i="2"/>
  <c r="E9" i="8"/>
  <c r="E12" i="2"/>
  <c r="F12" i="2"/>
  <c r="G12" i="2"/>
  <c r="B8" i="9"/>
  <c r="B8" i="10" s="1"/>
  <c r="F8" i="8"/>
  <c r="D9" i="3"/>
  <c r="B9" i="5" s="1"/>
  <c r="A9" i="10" s="1"/>
  <c r="D9" i="10" s="1"/>
  <c r="G9" i="10" s="1"/>
  <c r="D9" i="8"/>
  <c r="I10" i="2"/>
  <c r="J10" i="2" s="1"/>
  <c r="L10" i="2" s="1"/>
  <c r="C13" i="2"/>
  <c r="D13" i="2" s="1"/>
  <c r="A13" i="8"/>
  <c r="A13" i="3"/>
  <c r="A13" i="9"/>
  <c r="B14" i="2"/>
  <c r="A12" i="6"/>
  <c r="A12" i="5"/>
  <c r="A12" i="4"/>
  <c r="H11" i="2"/>
  <c r="I11" i="2" s="1"/>
  <c r="M11" i="2" s="1"/>
  <c r="N11" i="2" s="1"/>
  <c r="K11" i="2"/>
  <c r="B11" i="3"/>
  <c r="H11" i="10" s="1"/>
  <c r="J9" i="2"/>
  <c r="L9" i="2" s="1"/>
  <c r="O10" i="2" l="1"/>
  <c r="M10" i="2"/>
  <c r="N10" i="2" s="1"/>
  <c r="C10" i="3"/>
  <c r="B10" i="4" s="1"/>
  <c r="E10" i="10" s="1"/>
  <c r="C10" i="8"/>
  <c r="D11" i="3"/>
  <c r="B11" i="5" s="1"/>
  <c r="A11" i="10" s="1"/>
  <c r="D11" i="10" s="1"/>
  <c r="G11" i="10" s="1"/>
  <c r="D11" i="8"/>
  <c r="E10" i="8"/>
  <c r="P10" i="2"/>
  <c r="E10" i="3"/>
  <c r="B10" i="6" s="1"/>
  <c r="B15" i="2"/>
  <c r="A14" i="8"/>
  <c r="A14" i="3"/>
  <c r="A14" i="9"/>
  <c r="C14" i="2"/>
  <c r="D14" i="2" s="1"/>
  <c r="H12" i="2"/>
  <c r="B12" i="3"/>
  <c r="H12" i="10" s="1"/>
  <c r="B12" i="8"/>
  <c r="K12" i="2"/>
  <c r="B9" i="9"/>
  <c r="B9" i="10" s="1"/>
  <c r="F9" i="8"/>
  <c r="A13" i="5"/>
  <c r="A13" i="4"/>
  <c r="A13" i="6"/>
  <c r="C9" i="3"/>
  <c r="B9" i="4" s="1"/>
  <c r="E9" i="10" s="1"/>
  <c r="C9" i="8"/>
  <c r="E13" i="2"/>
  <c r="F13" i="2"/>
  <c r="D10" i="3"/>
  <c r="B10" i="5" s="1"/>
  <c r="A10" i="10" s="1"/>
  <c r="D10" i="10" s="1"/>
  <c r="G10" i="10" s="1"/>
  <c r="D10" i="8"/>
  <c r="O11" i="2"/>
  <c r="J11" i="2"/>
  <c r="L11" i="2" s="1"/>
  <c r="C11" i="3" l="1"/>
  <c r="B11" i="4" s="1"/>
  <c r="E11" i="10" s="1"/>
  <c r="C11" i="8"/>
  <c r="E14" i="2"/>
  <c r="F14" i="2"/>
  <c r="G14" i="2"/>
  <c r="A14" i="5"/>
  <c r="A14" i="6"/>
  <c r="A14" i="4"/>
  <c r="E11" i="8"/>
  <c r="P11" i="2"/>
  <c r="E11" i="3"/>
  <c r="B11" i="6" s="1"/>
  <c r="A15" i="9"/>
  <c r="A15" i="8"/>
  <c r="C15" i="2"/>
  <c r="D15" i="2" s="1"/>
  <c r="B16" i="2"/>
  <c r="A15" i="3"/>
  <c r="H13" i="2"/>
  <c r="I13" i="2" s="1"/>
  <c r="O12" i="2"/>
  <c r="J12" i="2"/>
  <c r="L12" i="2" s="1"/>
  <c r="B10" i="9"/>
  <c r="B10" i="10" s="1"/>
  <c r="F10" i="8"/>
  <c r="G13" i="2"/>
  <c r="M13" i="2" s="1"/>
  <c r="N13" i="2" s="1"/>
  <c r="B13" i="8"/>
  <c r="B13" i="3"/>
  <c r="H13" i="10" s="1"/>
  <c r="I12" i="2"/>
  <c r="M12" i="2" s="1"/>
  <c r="N12" i="2" s="1"/>
  <c r="K13" i="2" l="1"/>
  <c r="C12" i="3"/>
  <c r="B12" i="4" s="1"/>
  <c r="E12" i="10" s="1"/>
  <c r="C12" i="8"/>
  <c r="D13" i="3"/>
  <c r="B13" i="5" s="1"/>
  <c r="A13" i="10" s="1"/>
  <c r="D13" i="10" s="1"/>
  <c r="G13" i="10" s="1"/>
  <c r="D13" i="8"/>
  <c r="B11" i="9"/>
  <c r="B11" i="10" s="1"/>
  <c r="F11" i="8"/>
  <c r="P12" i="2"/>
  <c r="E12" i="3"/>
  <c r="B12" i="6" s="1"/>
  <c r="E12" i="8"/>
  <c r="K14" i="2"/>
  <c r="D12" i="3"/>
  <c r="B12" i="5" s="1"/>
  <c r="A12" i="10" s="1"/>
  <c r="D12" i="10" s="1"/>
  <c r="G12" i="10" s="1"/>
  <c r="D12" i="8"/>
  <c r="H14" i="2"/>
  <c r="A15" i="6"/>
  <c r="A15" i="5"/>
  <c r="A15" i="4"/>
  <c r="B14" i="8"/>
  <c r="B14" i="3"/>
  <c r="H14" i="10" s="1"/>
  <c r="C16" i="2"/>
  <c r="D16" i="2" s="1"/>
  <c r="A16" i="9"/>
  <c r="A16" i="3"/>
  <c r="A16" i="8"/>
  <c r="B17" i="2"/>
  <c r="O13" i="2"/>
  <c r="J13" i="2"/>
  <c r="L13" i="2" s="1"/>
  <c r="F15" i="2"/>
  <c r="G15" i="2"/>
  <c r="E15" i="2"/>
  <c r="B15" i="8" s="1"/>
  <c r="C13" i="3" l="1"/>
  <c r="B13" i="4" s="1"/>
  <c r="E13" i="10" s="1"/>
  <c r="C13" i="8"/>
  <c r="A16" i="6"/>
  <c r="A16" i="5"/>
  <c r="A16" i="4"/>
  <c r="E16" i="2"/>
  <c r="B16" i="3" s="1"/>
  <c r="H16" i="10" s="1"/>
  <c r="F16" i="2"/>
  <c r="B16" i="8"/>
  <c r="G16" i="2"/>
  <c r="B12" i="9"/>
  <c r="B12" i="10" s="1"/>
  <c r="F12" i="8"/>
  <c r="K15" i="2"/>
  <c r="H15" i="2"/>
  <c r="B15" i="3"/>
  <c r="H15" i="10" s="1"/>
  <c r="E13" i="8"/>
  <c r="P13" i="2"/>
  <c r="E13" i="3"/>
  <c r="B13" i="6" s="1"/>
  <c r="I14" i="2"/>
  <c r="M14" i="2" s="1"/>
  <c r="N14" i="2" s="1"/>
  <c r="C17" i="2"/>
  <c r="D17" i="2" s="1"/>
  <c r="A17" i="9"/>
  <c r="B18" i="2"/>
  <c r="A17" i="8"/>
  <c r="A17" i="3"/>
  <c r="O14" i="2" l="1"/>
  <c r="K16" i="2"/>
  <c r="J14" i="2"/>
  <c r="L14" i="2" s="1"/>
  <c r="H16" i="2"/>
  <c r="I16" i="2" s="1"/>
  <c r="D14" i="3"/>
  <c r="B14" i="5" s="1"/>
  <c r="A14" i="10" s="1"/>
  <c r="D14" i="10" s="1"/>
  <c r="G14" i="10" s="1"/>
  <c r="D14" i="8"/>
  <c r="B13" i="9"/>
  <c r="B13" i="10" s="1"/>
  <c r="F13" i="8"/>
  <c r="A17" i="4"/>
  <c r="A17" i="6"/>
  <c r="A17" i="5"/>
  <c r="P14" i="2"/>
  <c r="E14" i="8"/>
  <c r="E14" i="3"/>
  <c r="B14" i="6" s="1"/>
  <c r="I15" i="2"/>
  <c r="O15" i="2" s="1"/>
  <c r="B19" i="2"/>
  <c r="A18" i="9"/>
  <c r="C18" i="2"/>
  <c r="D18" i="2" s="1"/>
  <c r="A18" i="8"/>
  <c r="A18" i="3"/>
  <c r="E17" i="2"/>
  <c r="F17" i="2"/>
  <c r="G17" i="2" s="1"/>
  <c r="E15" i="3" l="1"/>
  <c r="B15" i="6" s="1"/>
  <c r="E15" i="8"/>
  <c r="P15" i="2"/>
  <c r="A18" i="6"/>
  <c r="A18" i="5"/>
  <c r="A18" i="4"/>
  <c r="E18" i="2"/>
  <c r="F18" i="2"/>
  <c r="B18" i="8"/>
  <c r="G18" i="2"/>
  <c r="J16" i="2"/>
  <c r="L16" i="2" s="1"/>
  <c r="O16" i="2"/>
  <c r="C14" i="3"/>
  <c r="B14" i="4" s="1"/>
  <c r="E14" i="10" s="1"/>
  <c r="C14" i="8"/>
  <c r="K17" i="2"/>
  <c r="B14" i="9"/>
  <c r="B14" i="10" s="1"/>
  <c r="F14" i="8"/>
  <c r="J15" i="2"/>
  <c r="L15" i="2" s="1"/>
  <c r="M16" i="2"/>
  <c r="N16" i="2" s="1"/>
  <c r="B20" i="2"/>
  <c r="A19" i="9"/>
  <c r="A19" i="3"/>
  <c r="A19" i="8"/>
  <c r="C19" i="2"/>
  <c r="D19" i="2" s="1"/>
  <c r="H17" i="2"/>
  <c r="B17" i="8"/>
  <c r="B17" i="3"/>
  <c r="H17" i="10" s="1"/>
  <c r="M15" i="2"/>
  <c r="N15" i="2" s="1"/>
  <c r="C16" i="3" l="1"/>
  <c r="B16" i="4" s="1"/>
  <c r="E16" i="10" s="1"/>
  <c r="C16" i="8"/>
  <c r="I17" i="2"/>
  <c r="M17" i="2" s="1"/>
  <c r="N17" i="2" s="1"/>
  <c r="D15" i="3"/>
  <c r="B15" i="5" s="1"/>
  <c r="A15" i="10" s="1"/>
  <c r="D15" i="10" s="1"/>
  <c r="G15" i="10" s="1"/>
  <c r="D15" i="8"/>
  <c r="A19" i="5"/>
  <c r="A19" i="6"/>
  <c r="A19" i="4"/>
  <c r="K18" i="2"/>
  <c r="C20" i="2"/>
  <c r="D20" i="2" s="1"/>
  <c r="A20" i="9"/>
  <c r="A20" i="3"/>
  <c r="A20" i="8"/>
  <c r="B21" i="2"/>
  <c r="D16" i="3"/>
  <c r="B16" i="5" s="1"/>
  <c r="A16" i="10" s="1"/>
  <c r="D16" i="10" s="1"/>
  <c r="G16" i="10" s="1"/>
  <c r="D16" i="8"/>
  <c r="C15" i="3"/>
  <c r="B15" i="4" s="1"/>
  <c r="E15" i="10" s="1"/>
  <c r="C15" i="8"/>
  <c r="H18" i="2"/>
  <c r="I18" i="2" s="1"/>
  <c r="M18" i="2" s="1"/>
  <c r="N18" i="2" s="1"/>
  <c r="B18" i="3"/>
  <c r="H18" i="10" s="1"/>
  <c r="B15" i="9"/>
  <c r="B15" i="10" s="1"/>
  <c r="F15" i="8"/>
  <c r="F19" i="2"/>
  <c r="G19" i="2" s="1"/>
  <c r="E19" i="2"/>
  <c r="B19" i="3" s="1"/>
  <c r="H19" i="10" s="1"/>
  <c r="P16" i="2"/>
  <c r="E16" i="8"/>
  <c r="E16" i="3"/>
  <c r="B16" i="6" s="1"/>
  <c r="J17" i="2" l="1"/>
  <c r="L17" i="2" s="1"/>
  <c r="B19" i="8"/>
  <c r="D18" i="3"/>
  <c r="B18" i="5" s="1"/>
  <c r="A18" i="10" s="1"/>
  <c r="D18" i="10" s="1"/>
  <c r="G18" i="10" s="1"/>
  <c r="D18" i="8"/>
  <c r="C17" i="3"/>
  <c r="B17" i="4" s="1"/>
  <c r="E17" i="10" s="1"/>
  <c r="C17" i="8"/>
  <c r="J18" i="2"/>
  <c r="O18" i="2"/>
  <c r="L18" i="2"/>
  <c r="H19" i="2"/>
  <c r="K19" i="2"/>
  <c r="C21" i="2"/>
  <c r="D21" i="2" s="1"/>
  <c r="B22" i="2"/>
  <c r="A21" i="9"/>
  <c r="A21" i="8"/>
  <c r="A21" i="3"/>
  <c r="D17" i="3"/>
  <c r="B17" i="5" s="1"/>
  <c r="A17" i="10" s="1"/>
  <c r="D17" i="10" s="1"/>
  <c r="G17" i="10" s="1"/>
  <c r="D17" i="8"/>
  <c r="O17" i="2"/>
  <c r="A20" i="6"/>
  <c r="A20" i="5"/>
  <c r="A20" i="4"/>
  <c r="F16" i="8"/>
  <c r="B16" i="9"/>
  <c r="B16" i="10" s="1"/>
  <c r="E20" i="2"/>
  <c r="B20" i="3"/>
  <c r="H20" i="10" s="1"/>
  <c r="F20" i="2"/>
  <c r="B20" i="8"/>
  <c r="G20" i="2"/>
  <c r="F21" i="2" l="1"/>
  <c r="G21" i="2" s="1"/>
  <c r="E21" i="2"/>
  <c r="I19" i="2"/>
  <c r="M19" i="2" s="1"/>
  <c r="N19" i="2" s="1"/>
  <c r="P17" i="2"/>
  <c r="E17" i="8"/>
  <c r="E17" i="3"/>
  <c r="B17" i="6" s="1"/>
  <c r="C18" i="3"/>
  <c r="B18" i="4" s="1"/>
  <c r="E18" i="10" s="1"/>
  <c r="C18" i="8"/>
  <c r="E18" i="3"/>
  <c r="B18" i="6" s="1"/>
  <c r="P18" i="2"/>
  <c r="E18" i="8"/>
  <c r="A21" i="6"/>
  <c r="A21" i="4"/>
  <c r="A21" i="5"/>
  <c r="K20" i="2"/>
  <c r="H20" i="2"/>
  <c r="B23" i="2"/>
  <c r="A22" i="9"/>
  <c r="A22" i="3"/>
  <c r="C22" i="2"/>
  <c r="D22" i="2" s="1"/>
  <c r="A22" i="8"/>
  <c r="I20" i="2" l="1"/>
  <c r="J20" i="2" s="1"/>
  <c r="L20" i="2" s="1"/>
  <c r="M20" i="2"/>
  <c r="N20" i="2" s="1"/>
  <c r="H21" i="2"/>
  <c r="D19" i="3"/>
  <c r="B19" i="5" s="1"/>
  <c r="A19" i="10" s="1"/>
  <c r="D19" i="10" s="1"/>
  <c r="G19" i="10" s="1"/>
  <c r="D19" i="8"/>
  <c r="O19" i="2"/>
  <c r="B18" i="9"/>
  <c r="B18" i="10" s="1"/>
  <c r="F18" i="8"/>
  <c r="B21" i="8"/>
  <c r="A22" i="6"/>
  <c r="A22" i="4"/>
  <c r="A22" i="5"/>
  <c r="K21" i="2"/>
  <c r="B17" i="9"/>
  <c r="B17" i="10" s="1"/>
  <c r="F17" i="8"/>
  <c r="J19" i="2"/>
  <c r="L19" i="2" s="1"/>
  <c r="E22" i="2"/>
  <c r="B22" i="3" s="1"/>
  <c r="H22" i="10" s="1"/>
  <c r="F22" i="2"/>
  <c r="G22" i="2" s="1"/>
  <c r="B24" i="2"/>
  <c r="A23" i="9"/>
  <c r="A23" i="3"/>
  <c r="C23" i="2"/>
  <c r="D23" i="2" s="1"/>
  <c r="A23" i="8"/>
  <c r="B21" i="3"/>
  <c r="H21" i="10" s="1"/>
  <c r="C20" i="3" l="1"/>
  <c r="B20" i="4" s="1"/>
  <c r="E20" i="10" s="1"/>
  <c r="C20" i="8"/>
  <c r="P19" i="2"/>
  <c r="E19" i="8"/>
  <c r="E19" i="3"/>
  <c r="B19" i="6" s="1"/>
  <c r="C19" i="3"/>
  <c r="B19" i="4" s="1"/>
  <c r="E19" i="10" s="1"/>
  <c r="C19" i="8"/>
  <c r="H22" i="2"/>
  <c r="I22" i="2" s="1"/>
  <c r="J21" i="2"/>
  <c r="L21" i="2" s="1"/>
  <c r="I21" i="2"/>
  <c r="O21" i="2" s="1"/>
  <c r="F23" i="2"/>
  <c r="G23" i="2" s="1"/>
  <c r="E23" i="2"/>
  <c r="B23" i="8" s="1"/>
  <c r="D20" i="3"/>
  <c r="B20" i="5" s="1"/>
  <c r="A20" i="10" s="1"/>
  <c r="D20" i="10" s="1"/>
  <c r="G20" i="10" s="1"/>
  <c r="D20" i="8"/>
  <c r="A24" i="9"/>
  <c r="B25" i="2"/>
  <c r="A24" i="8"/>
  <c r="C24" i="2"/>
  <c r="D24" i="2" s="1"/>
  <c r="A24" i="3"/>
  <c r="A23" i="6"/>
  <c r="A23" i="4"/>
  <c r="A23" i="5"/>
  <c r="B22" i="8"/>
  <c r="O20" i="2"/>
  <c r="K22" i="2"/>
  <c r="M21" i="2" l="1"/>
  <c r="N21" i="2" s="1"/>
  <c r="M22" i="2"/>
  <c r="N22" i="2" s="1"/>
  <c r="D21" i="3"/>
  <c r="B21" i="5" s="1"/>
  <c r="A21" i="10" s="1"/>
  <c r="D21" i="10" s="1"/>
  <c r="G21" i="10" s="1"/>
  <c r="D21" i="8"/>
  <c r="E24" i="2"/>
  <c r="B24" i="3"/>
  <c r="H24" i="10" s="1"/>
  <c r="F24" i="2"/>
  <c r="B24" i="8"/>
  <c r="C25" i="2"/>
  <c r="D25" i="2" s="1"/>
  <c r="A25" i="8"/>
  <c r="A25" i="3"/>
  <c r="A25" i="9"/>
  <c r="B26" i="2"/>
  <c r="E21" i="3"/>
  <c r="B21" i="6" s="1"/>
  <c r="P21" i="2"/>
  <c r="E21" i="8"/>
  <c r="J22" i="2"/>
  <c r="O22" i="2"/>
  <c r="D22" i="3"/>
  <c r="B22" i="5" s="1"/>
  <c r="A22" i="10" s="1"/>
  <c r="D22" i="10" s="1"/>
  <c r="G22" i="10" s="1"/>
  <c r="D22" i="8"/>
  <c r="C21" i="3"/>
  <c r="B21" i="4" s="1"/>
  <c r="E21" i="10" s="1"/>
  <c r="C21" i="8"/>
  <c r="H23" i="2"/>
  <c r="P20" i="2"/>
  <c r="E20" i="8"/>
  <c r="E20" i="3"/>
  <c r="B20" i="6" s="1"/>
  <c r="B19" i="9"/>
  <c r="B19" i="10" s="1"/>
  <c r="F19" i="8"/>
  <c r="L22" i="2"/>
  <c r="K23" i="2"/>
  <c r="B23" i="3"/>
  <c r="H23" i="10" s="1"/>
  <c r="A24" i="6"/>
  <c r="A24" i="4"/>
  <c r="A24" i="5"/>
  <c r="B20" i="9" l="1"/>
  <c r="B20" i="10" s="1"/>
  <c r="F20" i="8"/>
  <c r="B27" i="2"/>
  <c r="A26" i="8"/>
  <c r="A26" i="3"/>
  <c r="A26" i="9"/>
  <c r="C26" i="2"/>
  <c r="D26" i="2" s="1"/>
  <c r="A25" i="4"/>
  <c r="A25" i="6"/>
  <c r="A25" i="5"/>
  <c r="E25" i="2"/>
  <c r="F25" i="2"/>
  <c r="G25" i="2" s="1"/>
  <c r="G24" i="2"/>
  <c r="K24" i="2" s="1"/>
  <c r="C22" i="3"/>
  <c r="B22" i="4" s="1"/>
  <c r="E22" i="10" s="1"/>
  <c r="C22" i="8"/>
  <c r="H24" i="2"/>
  <c r="E22" i="8"/>
  <c r="P22" i="2"/>
  <c r="E22" i="3"/>
  <c r="B22" i="6" s="1"/>
  <c r="B21" i="9"/>
  <c r="B21" i="10" s="1"/>
  <c r="F21" i="8"/>
  <c r="I23" i="2"/>
  <c r="O23" i="2" s="1"/>
  <c r="M23" i="2" l="1"/>
  <c r="N23" i="2" s="1"/>
  <c r="E23" i="8"/>
  <c r="P23" i="2"/>
  <c r="E23" i="3"/>
  <c r="B23" i="6" s="1"/>
  <c r="E26" i="2"/>
  <c r="F26" i="2"/>
  <c r="G26" i="2" s="1"/>
  <c r="A26" i="5"/>
  <c r="A26" i="6"/>
  <c r="A26" i="4"/>
  <c r="C27" i="2"/>
  <c r="D27" i="2" s="1"/>
  <c r="A27" i="8"/>
  <c r="B28" i="2"/>
  <c r="A27" i="9"/>
  <c r="A27" i="3"/>
  <c r="K25" i="2"/>
  <c r="J23" i="2"/>
  <c r="L23" i="2" s="1"/>
  <c r="H25" i="2"/>
  <c r="I25" i="2" s="1"/>
  <c r="B25" i="3"/>
  <c r="H25" i="10" s="1"/>
  <c r="D23" i="3"/>
  <c r="B23" i="5" s="1"/>
  <c r="A23" i="10" s="1"/>
  <c r="D23" i="10" s="1"/>
  <c r="G23" i="10" s="1"/>
  <c r="D23" i="8"/>
  <c r="B22" i="9"/>
  <c r="B22" i="10" s="1"/>
  <c r="F22" i="8"/>
  <c r="B25" i="8"/>
  <c r="I24" i="2"/>
  <c r="J24" i="2" s="1"/>
  <c r="L24" i="2" s="1"/>
  <c r="C24" i="3" l="1"/>
  <c r="B24" i="4" s="1"/>
  <c r="E24" i="10" s="1"/>
  <c r="C24" i="8"/>
  <c r="H26" i="2"/>
  <c r="M25" i="2"/>
  <c r="N25" i="2" s="1"/>
  <c r="C23" i="3"/>
  <c r="B23" i="4" s="1"/>
  <c r="E23" i="10" s="1"/>
  <c r="C23" i="8"/>
  <c r="B26" i="3"/>
  <c r="H26" i="10" s="1"/>
  <c r="B26" i="8"/>
  <c r="M24" i="2"/>
  <c r="N24" i="2" s="1"/>
  <c r="O24" i="2"/>
  <c r="B29" i="2"/>
  <c r="A28" i="3"/>
  <c r="A28" i="8"/>
  <c r="C28" i="2"/>
  <c r="D28" i="2" s="1"/>
  <c r="A28" i="9"/>
  <c r="O25" i="2"/>
  <c r="J25" i="2"/>
  <c r="L25" i="2" s="1"/>
  <c r="A27" i="6"/>
  <c r="A27" i="5"/>
  <c r="A27" i="4"/>
  <c r="K26" i="2"/>
  <c r="F27" i="2"/>
  <c r="E27" i="2"/>
  <c r="G27" i="2"/>
  <c r="B23" i="9"/>
  <c r="B23" i="10" s="1"/>
  <c r="F23" i="8"/>
  <c r="C25" i="3" l="1"/>
  <c r="B25" i="4" s="1"/>
  <c r="E25" i="10" s="1"/>
  <c r="C25" i="8"/>
  <c r="P24" i="2"/>
  <c r="E24" i="3"/>
  <c r="B24" i="6" s="1"/>
  <c r="E24" i="8"/>
  <c r="D24" i="3"/>
  <c r="B24" i="5" s="1"/>
  <c r="A24" i="10" s="1"/>
  <c r="D24" i="10" s="1"/>
  <c r="G24" i="10" s="1"/>
  <c r="D24" i="8"/>
  <c r="E25" i="8"/>
  <c r="P25" i="2"/>
  <c r="E25" i="3"/>
  <c r="B25" i="6" s="1"/>
  <c r="D25" i="3"/>
  <c r="B25" i="5" s="1"/>
  <c r="A25" i="10" s="1"/>
  <c r="D25" i="10" s="1"/>
  <c r="G25" i="10" s="1"/>
  <c r="D25" i="8"/>
  <c r="E28" i="2"/>
  <c r="B28" i="3" s="1"/>
  <c r="H28" i="10" s="1"/>
  <c r="F28" i="2"/>
  <c r="B28" i="8"/>
  <c r="G28" i="2"/>
  <c r="I26" i="2"/>
  <c r="M26" i="2" s="1"/>
  <c r="N26" i="2" s="1"/>
  <c r="H27" i="2"/>
  <c r="B27" i="8"/>
  <c r="K27" i="2"/>
  <c r="A28" i="6"/>
  <c r="A28" i="5"/>
  <c r="A28" i="4"/>
  <c r="B27" i="3"/>
  <c r="H27" i="10" s="1"/>
  <c r="C29" i="2"/>
  <c r="D29" i="2" s="1"/>
  <c r="A29" i="9"/>
  <c r="A29" i="8"/>
  <c r="A29" i="3"/>
  <c r="B30" i="2"/>
  <c r="O26" i="2" l="1"/>
  <c r="I27" i="2"/>
  <c r="M27" i="2" s="1"/>
  <c r="N27" i="2" s="1"/>
  <c r="B25" i="9"/>
  <c r="B25" i="10" s="1"/>
  <c r="F25" i="8"/>
  <c r="D26" i="3"/>
  <c r="B26" i="5" s="1"/>
  <c r="A26" i="10" s="1"/>
  <c r="D26" i="10" s="1"/>
  <c r="G26" i="10" s="1"/>
  <c r="D26" i="8"/>
  <c r="A29" i="4"/>
  <c r="A29" i="6"/>
  <c r="A29" i="5"/>
  <c r="E29" i="2"/>
  <c r="F29" i="2"/>
  <c r="G29" i="2" s="1"/>
  <c r="K28" i="2"/>
  <c r="B24" i="9"/>
  <c r="B24" i="10" s="1"/>
  <c r="F24" i="8"/>
  <c r="H28" i="2"/>
  <c r="I28" i="2" s="1"/>
  <c r="J26" i="2"/>
  <c r="L26" i="2" s="1"/>
  <c r="B31" i="2"/>
  <c r="A30" i="8"/>
  <c r="A30" i="9"/>
  <c r="C30" i="2"/>
  <c r="D30" i="2" s="1"/>
  <c r="A30" i="3"/>
  <c r="P26" i="2"/>
  <c r="E26" i="8"/>
  <c r="E26" i="3"/>
  <c r="B26" i="6" s="1"/>
  <c r="D27" i="3" l="1"/>
  <c r="B27" i="5" s="1"/>
  <c r="A27" i="10" s="1"/>
  <c r="D27" i="10" s="1"/>
  <c r="G27" i="10" s="1"/>
  <c r="D27" i="8"/>
  <c r="C26" i="3"/>
  <c r="B26" i="4" s="1"/>
  <c r="E26" i="10" s="1"/>
  <c r="C26" i="8"/>
  <c r="J28" i="2"/>
  <c r="L28" i="2" s="1"/>
  <c r="O28" i="2"/>
  <c r="M28" i="2"/>
  <c r="N28" i="2" s="1"/>
  <c r="E30" i="2"/>
  <c r="F30" i="2"/>
  <c r="B30" i="8"/>
  <c r="G30" i="2"/>
  <c r="K29" i="2"/>
  <c r="J27" i="2"/>
  <c r="L27" i="2" s="1"/>
  <c r="B26" i="9"/>
  <c r="B26" i="10" s="1"/>
  <c r="F26" i="8"/>
  <c r="O27" i="2"/>
  <c r="H29" i="2"/>
  <c r="B29" i="8"/>
  <c r="A30" i="6"/>
  <c r="A30" i="5"/>
  <c r="A30" i="4"/>
  <c r="A31" i="9"/>
  <c r="A31" i="3"/>
  <c r="C31" i="2"/>
  <c r="D31" i="2" s="1"/>
  <c r="A31" i="8"/>
  <c r="B32" i="2"/>
  <c r="B29" i="3"/>
  <c r="H29" i="10" s="1"/>
  <c r="C28" i="3" l="1"/>
  <c r="B28" i="4" s="1"/>
  <c r="E28" i="10" s="1"/>
  <c r="C28" i="8"/>
  <c r="C32" i="2"/>
  <c r="D32" i="2" s="1"/>
  <c r="A32" i="9"/>
  <c r="B33" i="2"/>
  <c r="A32" i="3"/>
  <c r="A32" i="8"/>
  <c r="K30" i="2"/>
  <c r="A31" i="5"/>
  <c r="A31" i="6"/>
  <c r="A31" i="4"/>
  <c r="I30" i="2"/>
  <c r="H30" i="2"/>
  <c r="F31" i="2"/>
  <c r="E31" i="2"/>
  <c r="G31" i="2"/>
  <c r="B30" i="3"/>
  <c r="H30" i="10" s="1"/>
  <c r="I29" i="2"/>
  <c r="M29" i="2" s="1"/>
  <c r="N29" i="2" s="1"/>
  <c r="E27" i="3"/>
  <c r="B27" i="6" s="1"/>
  <c r="E27" i="8"/>
  <c r="P27" i="2"/>
  <c r="D28" i="3"/>
  <c r="B28" i="5" s="1"/>
  <c r="A28" i="10" s="1"/>
  <c r="D28" i="10" s="1"/>
  <c r="G28" i="10" s="1"/>
  <c r="D28" i="8"/>
  <c r="P28" i="2"/>
  <c r="E28" i="8"/>
  <c r="E28" i="3"/>
  <c r="B28" i="6" s="1"/>
  <c r="C27" i="3"/>
  <c r="B27" i="4" s="1"/>
  <c r="E27" i="10" s="1"/>
  <c r="C27" i="8"/>
  <c r="M30" i="2" l="1"/>
  <c r="N30" i="2" s="1"/>
  <c r="D30" i="3"/>
  <c r="B30" i="5" s="1"/>
  <c r="A30" i="10" s="1"/>
  <c r="D30" i="10" s="1"/>
  <c r="G30" i="10" s="1"/>
  <c r="D30" i="8"/>
  <c r="D29" i="3"/>
  <c r="B29" i="5" s="1"/>
  <c r="A29" i="10" s="1"/>
  <c r="D29" i="10" s="1"/>
  <c r="G29" i="10" s="1"/>
  <c r="D29" i="8"/>
  <c r="O29" i="2"/>
  <c r="J29" i="2"/>
  <c r="L29" i="2" s="1"/>
  <c r="H31" i="2"/>
  <c r="A32" i="6"/>
  <c r="A32" i="5"/>
  <c r="A32" i="4"/>
  <c r="B31" i="8"/>
  <c r="C33" i="2"/>
  <c r="D33" i="2" s="1"/>
  <c r="B34" i="2"/>
  <c r="A33" i="9"/>
  <c r="A33" i="8"/>
  <c r="A33" i="3"/>
  <c r="F28" i="8"/>
  <c r="B28" i="9"/>
  <c r="B28" i="10" s="1"/>
  <c r="K31" i="2"/>
  <c r="B31" i="3"/>
  <c r="H31" i="10" s="1"/>
  <c r="E32" i="2"/>
  <c r="F32" i="2"/>
  <c r="G32" i="2" s="1"/>
  <c r="B27" i="9"/>
  <c r="B27" i="10" s="1"/>
  <c r="F27" i="8"/>
  <c r="J30" i="2"/>
  <c r="L30" i="2" s="1"/>
  <c r="O30" i="2"/>
  <c r="C30" i="3" l="1"/>
  <c r="B30" i="4" s="1"/>
  <c r="E30" i="10" s="1"/>
  <c r="C30" i="8"/>
  <c r="H32" i="2"/>
  <c r="I31" i="2"/>
  <c r="M31" i="2" s="1"/>
  <c r="N31" i="2" s="1"/>
  <c r="A33" i="6"/>
  <c r="A33" i="5"/>
  <c r="A33" i="4"/>
  <c r="C29" i="3"/>
  <c r="B29" i="4" s="1"/>
  <c r="E29" i="10" s="1"/>
  <c r="C29" i="8"/>
  <c r="E29" i="8"/>
  <c r="P29" i="2"/>
  <c r="E29" i="3"/>
  <c r="B29" i="6" s="1"/>
  <c r="E30" i="3"/>
  <c r="B30" i="6" s="1"/>
  <c r="P30" i="2"/>
  <c r="E30" i="8"/>
  <c r="B32" i="8"/>
  <c r="B35" i="2"/>
  <c r="A34" i="9"/>
  <c r="C34" i="2"/>
  <c r="D34" i="2" s="1"/>
  <c r="A34" i="3"/>
  <c r="A34" i="8"/>
  <c r="E33" i="2"/>
  <c r="B33" i="8" s="1"/>
  <c r="F33" i="2"/>
  <c r="G33" i="2" s="1"/>
  <c r="K32" i="2"/>
  <c r="B32" i="3"/>
  <c r="H32" i="10" s="1"/>
  <c r="B36" i="2" l="1"/>
  <c r="A35" i="9"/>
  <c r="A35" i="3"/>
  <c r="C35" i="2"/>
  <c r="D35" i="2" s="1"/>
  <c r="A35" i="8"/>
  <c r="E34" i="2"/>
  <c r="B34" i="3" s="1"/>
  <c r="H34" i="10" s="1"/>
  <c r="F34" i="2"/>
  <c r="G34" i="2" s="1"/>
  <c r="B34" i="8"/>
  <c r="A34" i="6"/>
  <c r="A34" i="4"/>
  <c r="A34" i="5"/>
  <c r="D31" i="3"/>
  <c r="B31" i="5" s="1"/>
  <c r="A31" i="10" s="1"/>
  <c r="D31" i="10" s="1"/>
  <c r="G31" i="10" s="1"/>
  <c r="D31" i="8"/>
  <c r="B29" i="9"/>
  <c r="B29" i="10" s="1"/>
  <c r="F29" i="8"/>
  <c r="I32" i="2"/>
  <c r="M32" i="2" s="1"/>
  <c r="N32" i="2" s="1"/>
  <c r="J31" i="2"/>
  <c r="L31" i="2" s="1"/>
  <c r="K33" i="2"/>
  <c r="B30" i="9"/>
  <c r="B30" i="10" s="1"/>
  <c r="F30" i="8"/>
  <c r="O31" i="2"/>
  <c r="H33" i="2"/>
  <c r="B33" i="3"/>
  <c r="H33" i="10" s="1"/>
  <c r="O32" i="2" l="1"/>
  <c r="J32" i="2"/>
  <c r="L32" i="2" s="1"/>
  <c r="C32" i="3"/>
  <c r="B32" i="4" s="1"/>
  <c r="E32" i="10" s="1"/>
  <c r="C32" i="8"/>
  <c r="P32" i="2"/>
  <c r="E32" i="8"/>
  <c r="E32" i="3"/>
  <c r="B32" i="6" s="1"/>
  <c r="I33" i="2"/>
  <c r="J33" i="2" s="1"/>
  <c r="L33" i="2" s="1"/>
  <c r="M33" i="2"/>
  <c r="N33" i="2" s="1"/>
  <c r="C31" i="3"/>
  <c r="B31" i="4" s="1"/>
  <c r="E31" i="10" s="1"/>
  <c r="C31" i="8"/>
  <c r="D32" i="3"/>
  <c r="B32" i="5" s="1"/>
  <c r="A32" i="10" s="1"/>
  <c r="D32" i="10" s="1"/>
  <c r="G32" i="10" s="1"/>
  <c r="D32" i="8"/>
  <c r="K34" i="2"/>
  <c r="H34" i="2"/>
  <c r="F35" i="2"/>
  <c r="G35" i="2" s="1"/>
  <c r="E35" i="2"/>
  <c r="B35" i="3" s="1"/>
  <c r="H35" i="10" s="1"/>
  <c r="B35" i="8"/>
  <c r="A35" i="6"/>
  <c r="A35" i="4"/>
  <c r="A35" i="5"/>
  <c r="E31" i="8"/>
  <c r="P31" i="2"/>
  <c r="E31" i="3"/>
  <c r="B31" i="6" s="1"/>
  <c r="A36" i="9"/>
  <c r="A36" i="8"/>
  <c r="C36" i="2"/>
  <c r="D36" i="2" s="1"/>
  <c r="B37" i="2"/>
  <c r="A36" i="3"/>
  <c r="C33" i="3" l="1"/>
  <c r="B33" i="4" s="1"/>
  <c r="E33" i="10" s="1"/>
  <c r="C33" i="8"/>
  <c r="D33" i="3"/>
  <c r="B33" i="5" s="1"/>
  <c r="A33" i="10" s="1"/>
  <c r="D33" i="10" s="1"/>
  <c r="G33" i="10" s="1"/>
  <c r="D33" i="8"/>
  <c r="A36" i="6"/>
  <c r="A36" i="4"/>
  <c r="A36" i="5"/>
  <c r="H35" i="2"/>
  <c r="C37" i="2"/>
  <c r="D37" i="2" s="1"/>
  <c r="A37" i="8"/>
  <c r="A37" i="3"/>
  <c r="A37" i="9"/>
  <c r="B38" i="2"/>
  <c r="E36" i="2"/>
  <c r="B36" i="3" s="1"/>
  <c r="H36" i="10" s="1"/>
  <c r="F36" i="2"/>
  <c r="B36" i="8"/>
  <c r="K35" i="2"/>
  <c r="O33" i="2"/>
  <c r="I34" i="2"/>
  <c r="M34" i="2" s="1"/>
  <c r="N34" i="2" s="1"/>
  <c r="B31" i="9"/>
  <c r="B31" i="10" s="1"/>
  <c r="F31" i="8"/>
  <c r="B32" i="9"/>
  <c r="B32" i="10" s="1"/>
  <c r="F32" i="8"/>
  <c r="D34" i="3" l="1"/>
  <c r="B34" i="5" s="1"/>
  <c r="A34" i="10" s="1"/>
  <c r="D34" i="10" s="1"/>
  <c r="G34" i="10" s="1"/>
  <c r="D34" i="8"/>
  <c r="J34" i="2"/>
  <c r="L34" i="2" s="1"/>
  <c r="O34" i="2"/>
  <c r="F37" i="2"/>
  <c r="G37" i="2"/>
  <c r="E37" i="2"/>
  <c r="H36" i="2"/>
  <c r="I36" i="2" s="1"/>
  <c r="P33" i="2"/>
  <c r="E33" i="3"/>
  <c r="B33" i="6" s="1"/>
  <c r="E33" i="8"/>
  <c r="I35" i="2"/>
  <c r="J35" i="2" s="1"/>
  <c r="L35" i="2" s="1"/>
  <c r="G36" i="2"/>
  <c r="K36" i="2" s="1"/>
  <c r="B39" i="2"/>
  <c r="A38" i="8"/>
  <c r="A38" i="9"/>
  <c r="C38" i="2"/>
  <c r="D38" i="2" s="1"/>
  <c r="A38" i="3"/>
  <c r="A37" i="4"/>
  <c r="A37" i="6"/>
  <c r="A37" i="5"/>
  <c r="C35" i="3" l="1"/>
  <c r="B35" i="4" s="1"/>
  <c r="E35" i="10" s="1"/>
  <c r="C35" i="8"/>
  <c r="M35" i="2"/>
  <c r="N35" i="2" s="1"/>
  <c r="O35" i="2"/>
  <c r="B40" i="2"/>
  <c r="A39" i="9"/>
  <c r="A39" i="8"/>
  <c r="C39" i="2"/>
  <c r="D39" i="2" s="1"/>
  <c r="A39" i="3"/>
  <c r="O36" i="2"/>
  <c r="J36" i="2"/>
  <c r="L36" i="2" s="1"/>
  <c r="H37" i="2"/>
  <c r="B37" i="8"/>
  <c r="K37" i="2"/>
  <c r="M36" i="2"/>
  <c r="N36" i="2" s="1"/>
  <c r="B37" i="3"/>
  <c r="H37" i="10" s="1"/>
  <c r="E34" i="8"/>
  <c r="P34" i="2"/>
  <c r="E34" i="3"/>
  <c r="B34" i="6" s="1"/>
  <c r="C34" i="3"/>
  <c r="B34" i="4" s="1"/>
  <c r="E34" i="10" s="1"/>
  <c r="C34" i="8"/>
  <c r="B33" i="9"/>
  <c r="B33" i="10" s="1"/>
  <c r="F33" i="8"/>
  <c r="A38" i="5"/>
  <c r="A38" i="6"/>
  <c r="A38" i="4"/>
  <c r="E38" i="2"/>
  <c r="B38" i="8" s="1"/>
  <c r="F38" i="2"/>
  <c r="G38" i="2" s="1"/>
  <c r="C36" i="3" l="1"/>
  <c r="B36" i="4" s="1"/>
  <c r="E36" i="10" s="1"/>
  <c r="C36" i="8"/>
  <c r="P36" i="2"/>
  <c r="E36" i="3"/>
  <c r="B36" i="6" s="1"/>
  <c r="E36" i="8"/>
  <c r="A39" i="6"/>
  <c r="A39" i="4"/>
  <c r="A39" i="5"/>
  <c r="K38" i="2"/>
  <c r="B34" i="9"/>
  <c r="B34" i="10" s="1"/>
  <c r="F34" i="8"/>
  <c r="F39" i="2"/>
  <c r="G39" i="2" s="1"/>
  <c r="E39" i="2"/>
  <c r="B39" i="8"/>
  <c r="B41" i="2"/>
  <c r="A40" i="3"/>
  <c r="C40" i="2"/>
  <c r="D40" i="2" s="1"/>
  <c r="A40" i="9"/>
  <c r="A40" i="8"/>
  <c r="P35" i="2"/>
  <c r="E35" i="8"/>
  <c r="E35" i="3"/>
  <c r="B35" i="6" s="1"/>
  <c r="H38" i="2"/>
  <c r="D35" i="3"/>
  <c r="B35" i="5" s="1"/>
  <c r="A35" i="10" s="1"/>
  <c r="D35" i="10" s="1"/>
  <c r="G35" i="10" s="1"/>
  <c r="D35" i="8"/>
  <c r="B38" i="3"/>
  <c r="H38" i="10" s="1"/>
  <c r="D36" i="3"/>
  <c r="B36" i="5" s="1"/>
  <c r="A36" i="10" s="1"/>
  <c r="D36" i="10" s="1"/>
  <c r="G36" i="10" s="1"/>
  <c r="D36" i="8"/>
  <c r="I37" i="2"/>
  <c r="M37" i="2" s="1"/>
  <c r="N37" i="2" s="1"/>
  <c r="J37" i="2" l="1"/>
  <c r="L37" i="2" s="1"/>
  <c r="O37" i="2"/>
  <c r="C37" i="3"/>
  <c r="B37" i="4" s="1"/>
  <c r="E37" i="10" s="1"/>
  <c r="C37" i="8"/>
  <c r="D37" i="3"/>
  <c r="B37" i="5" s="1"/>
  <c r="A37" i="10" s="1"/>
  <c r="D37" i="10" s="1"/>
  <c r="G37" i="10" s="1"/>
  <c r="D37" i="8"/>
  <c r="E40" i="2"/>
  <c r="B40" i="3" s="1"/>
  <c r="H40" i="10" s="1"/>
  <c r="F40" i="2"/>
  <c r="B40" i="8"/>
  <c r="B35" i="9"/>
  <c r="B35" i="10" s="1"/>
  <c r="F35" i="8"/>
  <c r="A40" i="6"/>
  <c r="A40" i="4"/>
  <c r="A40" i="5"/>
  <c r="C41" i="2"/>
  <c r="D41" i="2" s="1"/>
  <c r="A41" i="9"/>
  <c r="A41" i="8"/>
  <c r="A41" i="3"/>
  <c r="P37" i="2"/>
  <c r="E37" i="8"/>
  <c r="E37" i="3"/>
  <c r="B37" i="6" s="1"/>
  <c r="B36" i="9"/>
  <c r="B36" i="10" s="1"/>
  <c r="F36" i="8"/>
  <c r="H39" i="2"/>
  <c r="K39" i="2"/>
  <c r="I38" i="2"/>
  <c r="M38" i="2" s="1"/>
  <c r="N38" i="2" s="1"/>
  <c r="B39" i="3"/>
  <c r="H39" i="10" s="1"/>
  <c r="D38" i="3" l="1"/>
  <c r="B38" i="5" s="1"/>
  <c r="A38" i="10" s="1"/>
  <c r="D38" i="10" s="1"/>
  <c r="G38" i="10" s="1"/>
  <c r="D38" i="8"/>
  <c r="B37" i="9"/>
  <c r="B37" i="10" s="1"/>
  <c r="F37" i="8"/>
  <c r="A41" i="4"/>
  <c r="A41" i="6"/>
  <c r="A41" i="5"/>
  <c r="G40" i="2"/>
  <c r="K40" i="2" s="1"/>
  <c r="O38" i="2"/>
  <c r="H40" i="2"/>
  <c r="I40" i="2" s="1"/>
  <c r="J38" i="2"/>
  <c r="L38" i="2" s="1"/>
  <c r="E41" i="2"/>
  <c r="B41" i="3" s="1"/>
  <c r="H41" i="10" s="1"/>
  <c r="F41" i="2"/>
  <c r="G41" i="2"/>
  <c r="I39" i="2"/>
  <c r="M39" i="2" s="1"/>
  <c r="N39" i="2" s="1"/>
  <c r="J39" i="2" l="1"/>
  <c r="L39" i="2" s="1"/>
  <c r="C39" i="8"/>
  <c r="C39" i="3"/>
  <c r="B39" i="4" s="1"/>
  <c r="E39" i="10" s="1"/>
  <c r="D39" i="3"/>
  <c r="B39" i="5" s="1"/>
  <c r="A39" i="10" s="1"/>
  <c r="D39" i="10" s="1"/>
  <c r="G39" i="10" s="1"/>
  <c r="D39" i="8"/>
  <c r="E38" i="8"/>
  <c r="P38" i="2"/>
  <c r="E38" i="3"/>
  <c r="B38" i="6" s="1"/>
  <c r="O39" i="2"/>
  <c r="K41" i="2"/>
  <c r="H41" i="2"/>
  <c r="I41" i="2" s="1"/>
  <c r="M41" i="2" s="1"/>
  <c r="N41" i="2" s="1"/>
  <c r="M40" i="2"/>
  <c r="N40" i="2" s="1"/>
  <c r="B41" i="8"/>
  <c r="C38" i="8"/>
  <c r="C38" i="3"/>
  <c r="B38" i="4" s="1"/>
  <c r="E38" i="10" s="1"/>
  <c r="J40" i="2"/>
  <c r="L40" i="2" s="1"/>
  <c r="O40" i="2"/>
  <c r="D41" i="3" l="1"/>
  <c r="B41" i="5" s="1"/>
  <c r="A41" i="10" s="1"/>
  <c r="D41" i="10" s="1"/>
  <c r="G41" i="10" s="1"/>
  <c r="D41" i="8"/>
  <c r="C40" i="3"/>
  <c r="B40" i="4" s="1"/>
  <c r="E40" i="10" s="1"/>
  <c r="C40" i="8"/>
  <c r="P40" i="2"/>
  <c r="E40" i="8"/>
  <c r="E40" i="3"/>
  <c r="B40" i="6" s="1"/>
  <c r="L41" i="2"/>
  <c r="B38" i="9"/>
  <c r="B38" i="10" s="1"/>
  <c r="F38" i="8"/>
  <c r="E39" i="3"/>
  <c r="B39" i="6" s="1"/>
  <c r="P39" i="2"/>
  <c r="E39" i="8"/>
  <c r="D40" i="3"/>
  <c r="B40" i="5" s="1"/>
  <c r="A40" i="10" s="1"/>
  <c r="D40" i="10" s="1"/>
  <c r="G40" i="10" s="1"/>
  <c r="D40" i="8"/>
  <c r="J41" i="2"/>
  <c r="O41" i="2"/>
  <c r="B39" i="9" l="1"/>
  <c r="B39" i="10" s="1"/>
  <c r="F39" i="8"/>
  <c r="F40" i="8"/>
  <c r="B40" i="9"/>
  <c r="B40" i="10" s="1"/>
  <c r="C41" i="3"/>
  <c r="B41" i="4" s="1"/>
  <c r="E41" i="10" s="1"/>
  <c r="C41" i="8"/>
  <c r="E41" i="8"/>
  <c r="P41" i="2"/>
  <c r="E41" i="3"/>
  <c r="B41" i="6" s="1"/>
  <c r="B41" i="9" l="1"/>
  <c r="B41" i="10" s="1"/>
  <c r="F41" i="8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Jean-Pierre Boissel</author>
  </authors>
  <commentList>
    <comment ref="B1" authorId="0" shapeId="0" xr:uid="{00000000-0006-0000-0000-000001000000}">
      <text>
        <r>
          <rPr>
            <b/>
            <sz val="9"/>
            <color indexed="81"/>
            <rFont val="Calibri"/>
            <family val="2"/>
          </rPr>
          <t>Jean-Pierre Boissel:</t>
        </r>
        <r>
          <rPr>
            <sz val="9"/>
            <color indexed="81"/>
            <rFont val="Calibri"/>
            <family val="2"/>
          </rPr>
          <t xml:space="preserve">
Zinman B, Wanner C, Lachin JM, Fitchett D, Bluhmki E, Hantel S, Mattheus M, Devins T, Johansen OE, Woerle HJ, Broedl UC, Inzucchi SE; EMPA-REG OUTCOME Investigators. Empagliflozin, Cardiovascular Outcomes, and Mortality in Type 2 Diabetes. N Engl J Med. 2015 Nov 26;373(22):2117-28. doi: 10.1056/NEJMoa1504720</t>
        </r>
      </text>
    </comment>
  </commentList>
</comments>
</file>

<file path=xl/sharedStrings.xml><?xml version="1.0" encoding="utf-8"?>
<sst xmlns="http://schemas.openxmlformats.org/spreadsheetml/2006/main" count="100" uniqueCount="52">
  <si>
    <t>P</t>
  </si>
  <si>
    <t>T</t>
  </si>
  <si>
    <t>dead</t>
  </si>
  <si>
    <t>alive</t>
  </si>
  <si>
    <t>trial 1</t>
  </si>
  <si>
    <t>RR</t>
  </si>
  <si>
    <t>AB</t>
  </si>
  <si>
    <t>responders in trial 1</t>
  </si>
  <si>
    <t>resp</t>
  </si>
  <si>
    <t>nonresp</t>
  </si>
  <si>
    <t>Nt*AB</t>
  </si>
  <si>
    <t>Rc</t>
  </si>
  <si>
    <t>Rt</t>
  </si>
  <si>
    <t>ethical losses</t>
  </si>
  <si>
    <t>of whom</t>
  </si>
  <si>
    <t xml:space="preserve">trial 3:  P(responders = 0.5) </t>
  </si>
  <si>
    <t xml:space="preserve">trial 4:  P(responders = 0.1) </t>
  </si>
  <si>
    <t>chisquare</t>
  </si>
  <si>
    <t>chi2 =</t>
  </si>
  <si>
    <t>tot</t>
  </si>
  <si>
    <t>% over N</t>
  </si>
  <si>
    <t>trial 2: responders only (perfect trial) P(responders = 1)</t>
  </si>
  <si>
    <t>% of responders</t>
  </si>
  <si>
    <t>times</t>
  </si>
  <si>
    <t>path</t>
  </si>
  <si>
    <t>T dead</t>
  </si>
  <si>
    <t>T alive</t>
  </si>
  <si>
    <t>P dead</t>
  </si>
  <si>
    <t>P alive</t>
  </si>
  <si>
    <t>chi-square</t>
  </si>
  <si>
    <t>ethical losses in % of enrolled patients</t>
  </si>
  <si>
    <t>sample size</t>
  </si>
  <si>
    <t>expected deaths in the T group</t>
  </si>
  <si>
    <t>times 121 to be recruted in the T group</t>
  </si>
  <si>
    <t>to be randomised in the P group</t>
  </si>
  <si>
    <t>p-value</t>
  </si>
  <si>
    <t>trial ref</t>
  </si>
  <si>
    <t xml:space="preserve">2333 + 269 + 4418 – 121 </t>
  </si>
  <si>
    <t>Empa-RG-outcome</t>
  </si>
  <si>
    <t xml:space="preserve">(Rc - RT).( Nc + NT) </t>
  </si>
  <si>
    <t>(Rc - RT)</t>
  </si>
  <si>
    <t xml:space="preserve">( Nc + NT) </t>
  </si>
  <si>
    <t>number of respondeers in the new treatment arm plus the number of potential responders in the control arm</t>
  </si>
  <si>
    <t>calculs intermédiares</t>
  </si>
  <si>
    <t>Responders</t>
  </si>
  <si>
    <t>résultat</t>
  </si>
  <si>
    <t>a+b</t>
  </si>
  <si>
    <t xml:space="preserve">number of respondeers in the new treatment arm </t>
  </si>
  <si>
    <t>NR = (Rc - RT).NT</t>
  </si>
  <si>
    <t>Non responders in the trial</t>
  </si>
  <si>
    <t>(a + b) - (Rc - RT). Nc</t>
  </si>
  <si>
    <t>(Rc - RT). Nc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</si>
</sst>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"/>
    <numFmt numFmtId="166" formatCode="0.0%"/>
  </numFmts>
  <fonts count="11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indexed="81"/>
      <name val="Calibri"/>
      <family val="2"/>
    </font>
    <font>
      <b/>
      <sz val="9"/>
      <color indexed="81"/>
      <name val="Calibri"/>
      <family val="2"/>
    </font>
    <font>
      <i/>
      <sz val="12"/>
      <color theme="1"/>
      <name val="Calibri"/>
      <scheme val="minor"/>
    </font>
    <font>
      <sz val="12"/>
      <color theme="1"/>
      <name val="Arial Narrow"/>
      <family val="2"/>
    </font>
    <font>
      <sz val="16"/>
      <color theme="1"/>
      <name val="Calibri"/>
      <family val="2"/>
      <scheme val="minor"/>
    </font>
    <font>
      <b/>
      <sz val="12"/>
      <color theme="1"/>
      <name val="Arial Narrow"/>
      <family val="2"/>
    </font>
  </fonts>
  <fills count="7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6" tint="0.39994506668294322"/>
        <bgColor indexed="64"/>
      </patternFill>
    </fill>
    <fill>
      <patternFill patternType="solid">
        <fgColor theme="8" tint="0.39994506668294322"/>
        <bgColor indexed="64"/>
      </patternFill>
    </fill>
  </fills>
  <borders count="5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3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72">
    <xf numFmtId="0" fontId="0" fillId="0" borderId="0" xfId="0"/>
    <xf numFmtId="0" fontId="0" fillId="0" borderId="1" xfId="0" applyBorder="1"/>
    <xf numFmtId="0" fontId="0" fillId="0" borderId="3" xfId="0" applyBorder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2" fontId="2" fillId="0" borderId="0" xfId="0" applyNumberFormat="1" applyFont="1" applyAlignment="1">
      <alignment horizontal="center"/>
    </xf>
    <xf numFmtId="2" fontId="0" fillId="0" borderId="0" xfId="0" applyNumberFormat="1"/>
    <xf numFmtId="1" fontId="2" fillId="0" borderId="0" xfId="0" applyNumberFormat="1" applyFont="1" applyAlignment="1">
      <alignment horizontal="center"/>
    </xf>
    <xf numFmtId="1" fontId="0" fillId="0" borderId="2" xfId="0" applyNumberFormat="1" applyBorder="1"/>
    <xf numFmtId="1" fontId="0" fillId="0" borderId="4" xfId="0" applyNumberFormat="1" applyBorder="1"/>
    <xf numFmtId="1" fontId="0" fillId="0" borderId="0" xfId="0" applyNumberFormat="1"/>
    <xf numFmtId="0" fontId="2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164" fontId="0" fillId="0" borderId="0" xfId="0" applyNumberFormat="1" applyFont="1" applyAlignment="1">
      <alignment horizontal="center"/>
    </xf>
    <xf numFmtId="164" fontId="0" fillId="0" borderId="0" xfId="0" applyNumberFormat="1"/>
    <xf numFmtId="1" fontId="0" fillId="0" borderId="1" xfId="0" applyNumberFormat="1" applyBorder="1"/>
    <xf numFmtId="1" fontId="0" fillId="0" borderId="0" xfId="0" applyNumberFormat="1" applyFont="1" applyAlignment="1">
      <alignment horizontal="center"/>
    </xf>
    <xf numFmtId="1" fontId="0" fillId="0" borderId="3" xfId="0" applyNumberFormat="1" applyBorder="1"/>
    <xf numFmtId="1" fontId="0" fillId="0" borderId="0" xfId="0" applyNumberFormat="1" applyAlignment="1">
      <alignment horizontal="left"/>
    </xf>
    <xf numFmtId="0" fontId="2" fillId="0" borderId="0" xfId="0" applyFont="1" applyAlignment="1">
      <alignment horizontal="right"/>
    </xf>
    <xf numFmtId="2" fontId="2" fillId="0" borderId="0" xfId="0" applyNumberFormat="1" applyFont="1" applyAlignment="1">
      <alignment horizontal="right"/>
    </xf>
    <xf numFmtId="0" fontId="2" fillId="2" borderId="0" xfId="0" applyFont="1" applyFill="1" applyAlignment="1">
      <alignment horizontal="center"/>
    </xf>
    <xf numFmtId="0" fontId="0" fillId="2" borderId="0" xfId="0" applyFill="1"/>
    <xf numFmtId="1" fontId="0" fillId="2" borderId="0" xfId="0" applyNumberFormat="1" applyFill="1"/>
    <xf numFmtId="165" fontId="0" fillId="0" borderId="0" xfId="0" applyNumberFormat="1"/>
    <xf numFmtId="166" fontId="0" fillId="0" borderId="0" xfId="0" applyNumberFormat="1"/>
    <xf numFmtId="2" fontId="0" fillId="0" borderId="1" xfId="0" applyNumberFormat="1" applyBorder="1"/>
    <xf numFmtId="2" fontId="0" fillId="0" borderId="2" xfId="0" applyNumberFormat="1" applyBorder="1"/>
    <xf numFmtId="2" fontId="0" fillId="0" borderId="3" xfId="0" applyNumberFormat="1" applyBorder="1"/>
    <xf numFmtId="2" fontId="0" fillId="0" borderId="4" xfId="0" applyNumberFormat="1" applyBorder="1"/>
    <xf numFmtId="2" fontId="0" fillId="2" borderId="0" xfId="0" applyNumberFormat="1" applyFill="1"/>
    <xf numFmtId="0" fontId="0" fillId="0" borderId="0" xfId="0" applyFont="1" applyAlignment="1">
      <alignment horizontal="center" vertical="center" wrapText="1"/>
    </xf>
    <xf numFmtId="11" fontId="0" fillId="0" borderId="0" xfId="0" applyNumberFormat="1" applyFont="1" applyAlignment="1">
      <alignment horizontal="center" vertical="center" wrapText="1"/>
    </xf>
    <xf numFmtId="10" fontId="0" fillId="0" borderId="0" xfId="0" applyNumberFormat="1"/>
    <xf numFmtId="0" fontId="7" fillId="0" borderId="0" xfId="0" applyFont="1" applyAlignment="1">
      <alignment horizontal="center"/>
    </xf>
    <xf numFmtId="11" fontId="0" fillId="0" borderId="0" xfId="0" applyNumberFormat="1"/>
    <xf numFmtId="9" fontId="2" fillId="0" borderId="0" xfId="0" applyNumberFormat="1" applyFont="1" applyAlignment="1">
      <alignment horizontal="center" vertical="center" wrapText="1"/>
    </xf>
    <xf numFmtId="9" fontId="0" fillId="0" borderId="0" xfId="0" applyNumberFormat="1"/>
    <xf numFmtId="1" fontId="2" fillId="0" borderId="0" xfId="0" applyNumberFormat="1" applyFont="1" applyAlignment="1">
      <alignment horizontal="center" vertical="center" wrapText="1"/>
    </xf>
    <xf numFmtId="0" fontId="0" fillId="3" borderId="0" xfId="0" applyFill="1"/>
    <xf numFmtId="2" fontId="0" fillId="3" borderId="0" xfId="0" applyNumberFormat="1" applyFill="1"/>
    <xf numFmtId="166" fontId="0" fillId="3" borderId="0" xfId="0" applyNumberFormat="1" applyFill="1"/>
    <xf numFmtId="9" fontId="2" fillId="0" borderId="0" xfId="35" applyFont="1" applyAlignment="1">
      <alignment horizontal="center" vertical="center" wrapText="1"/>
    </xf>
    <xf numFmtId="9" fontId="0" fillId="0" borderId="0" xfId="35" applyFont="1"/>
    <xf numFmtId="9" fontId="0" fillId="0" borderId="0" xfId="35" applyFont="1" applyAlignment="1">
      <alignment horizontal="center"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top"/>
    </xf>
    <xf numFmtId="0" fontId="0" fillId="0" borderId="0" xfId="0" applyFont="1"/>
    <xf numFmtId="0" fontId="9" fillId="4" borderId="0" xfId="0" applyFont="1" applyFill="1" applyAlignment="1">
      <alignment horizontal="center" vertical="top"/>
    </xf>
    <xf numFmtId="0" fontId="0" fillId="4" borderId="0" xfId="0" applyFill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0" fillId="4" borderId="0" xfId="0" applyFill="1" applyAlignment="1">
      <alignment vertical="center"/>
    </xf>
    <xf numFmtId="0" fontId="0" fillId="4" borderId="0" xfId="0" applyFont="1" applyFill="1"/>
    <xf numFmtId="0" fontId="2" fillId="4" borderId="0" xfId="0" applyFont="1" applyFill="1" applyAlignment="1">
      <alignment vertical="center"/>
    </xf>
    <xf numFmtId="0" fontId="9" fillId="5" borderId="0" xfId="0" applyFont="1" applyFill="1" applyAlignment="1">
      <alignment horizontal="center" vertical="top"/>
    </xf>
    <xf numFmtId="0" fontId="8" fillId="5" borderId="0" xfId="0" applyFont="1" applyFill="1" applyAlignment="1">
      <alignment wrapText="1"/>
    </xf>
    <xf numFmtId="0" fontId="2" fillId="5" borderId="0" xfId="0" applyFont="1" applyFill="1" applyAlignment="1">
      <alignment vertical="center"/>
    </xf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vertical="center"/>
    </xf>
    <xf numFmtId="0" fontId="9" fillId="6" borderId="0" xfId="0" applyFont="1" applyFill="1" applyAlignment="1">
      <alignment horizontal="center" vertical="top"/>
    </xf>
    <xf numFmtId="0" fontId="0" fillId="6" borderId="0" xfId="0" applyFill="1" applyAlignment="1">
      <alignment vertical="center"/>
    </xf>
    <xf numFmtId="0" fontId="0" fillId="6" borderId="0" xfId="0" applyFill="1" applyAlignment="1">
      <alignment horizontal="center" vertical="center"/>
    </xf>
    <xf numFmtId="1" fontId="0" fillId="6" borderId="0" xfId="0" applyNumberFormat="1" applyFill="1" applyAlignment="1">
      <alignment vertical="center"/>
    </xf>
    <xf numFmtId="0" fontId="10" fillId="6" borderId="0" xfId="0" applyFont="1" applyFill="1" applyAlignment="1">
      <alignment vertical="center"/>
    </xf>
    <xf numFmtId="1" fontId="2" fillId="6" borderId="0" xfId="0" applyNumberFormat="1" applyFont="1" applyFill="1" applyAlignment="1">
      <alignment vertical="center"/>
    </xf>
    <xf numFmtId="0" fontId="0" fillId="6" borderId="0" xfId="0" applyFont="1" applyFill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</cellXfs>
  <cellStyles count="36">
    <cellStyle name="Lien hypertexte" xfId="1" builtinId="8" hidden="1"/>
    <cellStyle name="Lien hypertexte" xfId="3" builtinId="8" hidden="1"/>
    <cellStyle name="Lien hypertexte" xfId="5" builtinId="8" hidden="1"/>
    <cellStyle name="Lien hypertexte" xfId="7" builtinId="8" hidden="1"/>
    <cellStyle name="Lien hypertexte" xfId="9" builtinId="8" hidden="1"/>
    <cellStyle name="Lien hypertexte" xfId="11" builtinId="8" hidden="1"/>
    <cellStyle name="Lien hypertexte" xfId="13" builtinId="8" hidden="1"/>
    <cellStyle name="Lien hypertexte" xfId="15" builtinId="8" hidden="1"/>
    <cellStyle name="Lien hypertexte" xfId="17" builtinId="8" hidden="1"/>
    <cellStyle name="Lien hypertexte" xfId="19" builtinId="8" hidden="1"/>
    <cellStyle name="Lien hypertexte" xfId="21" builtinId="8" hidden="1"/>
    <cellStyle name="Lien hypertexte" xfId="23" builtinId="8" hidden="1"/>
    <cellStyle name="Lien hypertexte" xfId="25" builtinId="8" hidden="1"/>
    <cellStyle name="Lien hypertexte" xfId="27" builtinId="8" hidden="1"/>
    <cellStyle name="Lien hypertexte" xfId="29" builtinId="8" hidden="1"/>
    <cellStyle name="Lien hypertexte" xfId="31" builtinId="8" hidden="1"/>
    <cellStyle name="Lien hypertexte" xfId="33" builtinId="8" hidden="1"/>
    <cellStyle name="Lien hypertexte visité" xfId="2" builtinId="9" hidden="1"/>
    <cellStyle name="Lien hypertexte visité" xfId="4" builtinId="9" hidden="1"/>
    <cellStyle name="Lien hypertexte visité" xfId="6" builtinId="9" hidden="1"/>
    <cellStyle name="Lien hypertexte visité" xfId="8" builtinId="9" hidden="1"/>
    <cellStyle name="Lien hypertexte visité" xfId="10" builtinId="9" hidden="1"/>
    <cellStyle name="Lien hypertexte visité" xfId="12" builtinId="9" hidden="1"/>
    <cellStyle name="Lien hypertexte visité" xfId="14" builtinId="9" hidden="1"/>
    <cellStyle name="Lien hypertexte visité" xfId="16" builtinId="9" hidden="1"/>
    <cellStyle name="Lien hypertexte visité" xfId="18" builtinId="9" hidden="1"/>
    <cellStyle name="Lien hypertexte visité" xfId="20" builtinId="9" hidden="1"/>
    <cellStyle name="Lien hypertexte visité" xfId="22" builtinId="9" hidden="1"/>
    <cellStyle name="Lien hypertexte visité" xfId="24" builtinId="9" hidden="1"/>
    <cellStyle name="Lien hypertexte visité" xfId="26" builtinId="9" hidden="1"/>
    <cellStyle name="Lien hypertexte visité" xfId="28" builtinId="9" hidden="1"/>
    <cellStyle name="Lien hypertexte visité" xfId="30" builtinId="9" hidden="1"/>
    <cellStyle name="Lien hypertexte visité" xfId="32" builtinId="9" hidden="1"/>
    <cellStyle name="Lien hypertexte visité" xfId="34" builtinId="9" hidden="1"/>
    <cellStyle name="Normal" xfId="0" builtinId="0"/>
    <cellStyle name="Pourcentage" xfId="35" builtinId="5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of responders and sample size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'plot sample size (2)'!$B$1</c:f>
              <c:strCache>
                <c:ptCount val="1"/>
                <c:pt idx="0">
                  <c:v>sample size</c:v>
                </c:pt>
              </c:strCache>
            </c:strRef>
          </c:tx>
          <c:marker>
            <c:symbol val="none"/>
          </c:marker>
          <c:xVal>
            <c:numRef>
              <c:f>'plot sample size (2)'!$A$2:$A$41</c:f>
              <c:numCache>
                <c:formatCode>0.0%</c:formatCode>
                <c:ptCount val="40"/>
                <c:pt idx="0">
                  <c:v>1</c:v>
                </c:pt>
                <c:pt idx="1">
                  <c:v>0.97499999999999998</c:v>
                </c:pt>
                <c:pt idx="2">
                  <c:v>0.95</c:v>
                </c:pt>
                <c:pt idx="3">
                  <c:v>0.92499999999999993</c:v>
                </c:pt>
                <c:pt idx="4">
                  <c:v>0.89999999999999991</c:v>
                </c:pt>
                <c:pt idx="5">
                  <c:v>0.87499999999999989</c:v>
                </c:pt>
                <c:pt idx="6">
                  <c:v>0.84999999999999987</c:v>
                </c:pt>
                <c:pt idx="7">
                  <c:v>0.82499999999999984</c:v>
                </c:pt>
                <c:pt idx="8">
                  <c:v>0.79999999999999982</c:v>
                </c:pt>
                <c:pt idx="9">
                  <c:v>0.7749999999999998</c:v>
                </c:pt>
                <c:pt idx="10">
                  <c:v>0.74999999999999978</c:v>
                </c:pt>
                <c:pt idx="11">
                  <c:v>0.72499999999999976</c:v>
                </c:pt>
                <c:pt idx="12">
                  <c:v>0.69999999999999973</c:v>
                </c:pt>
                <c:pt idx="13">
                  <c:v>0.67499999999999971</c:v>
                </c:pt>
                <c:pt idx="14">
                  <c:v>0.64999999999999969</c:v>
                </c:pt>
                <c:pt idx="15">
                  <c:v>0.62499999999999967</c:v>
                </c:pt>
                <c:pt idx="16">
                  <c:v>0.59999999999999964</c:v>
                </c:pt>
                <c:pt idx="17">
                  <c:v>0.57499999999999962</c:v>
                </c:pt>
                <c:pt idx="18">
                  <c:v>0.5499999999999996</c:v>
                </c:pt>
                <c:pt idx="19">
                  <c:v>0.52499999999999958</c:v>
                </c:pt>
                <c:pt idx="20">
                  <c:v>0.49999999999999956</c:v>
                </c:pt>
                <c:pt idx="21">
                  <c:v>0.47499999999999953</c:v>
                </c:pt>
                <c:pt idx="22">
                  <c:v>0.44999999999999951</c:v>
                </c:pt>
                <c:pt idx="23">
                  <c:v>0.42499999999999949</c:v>
                </c:pt>
                <c:pt idx="24">
                  <c:v>0.39999999999999947</c:v>
                </c:pt>
                <c:pt idx="25">
                  <c:v>0.37499999999999944</c:v>
                </c:pt>
                <c:pt idx="26">
                  <c:v>0.34999999999999942</c:v>
                </c:pt>
                <c:pt idx="27">
                  <c:v>0.3249999999999994</c:v>
                </c:pt>
                <c:pt idx="28">
                  <c:v>0.29999999999999938</c:v>
                </c:pt>
                <c:pt idx="29">
                  <c:v>0.27499999999999936</c:v>
                </c:pt>
                <c:pt idx="30">
                  <c:v>0.24999999999999936</c:v>
                </c:pt>
                <c:pt idx="31">
                  <c:v>0.22499999999999937</c:v>
                </c:pt>
                <c:pt idx="32">
                  <c:v>0.19999999999999937</c:v>
                </c:pt>
                <c:pt idx="33">
                  <c:v>0.17499999999999938</c:v>
                </c:pt>
                <c:pt idx="34">
                  <c:v>0.14999999999999938</c:v>
                </c:pt>
                <c:pt idx="35">
                  <c:v>0.12499999999999939</c:v>
                </c:pt>
                <c:pt idx="36">
                  <c:v>9.9999999999999395E-2</c:v>
                </c:pt>
                <c:pt idx="37">
                  <c:v>7.49999999999994E-2</c:v>
                </c:pt>
                <c:pt idx="38">
                  <c:v>4.9999999999999399E-2</c:v>
                </c:pt>
                <c:pt idx="39">
                  <c:v>2.4999999999999398E-2</c:v>
                </c:pt>
              </c:numCache>
            </c:numRef>
          </c:xVal>
          <c:yVal>
            <c:numRef>
              <c:f>'plot sample size (2)'!$B$2:$B$41</c:f>
              <c:numCache>
                <c:formatCode>0</c:formatCode>
                <c:ptCount val="40"/>
                <c:pt idx="0">
                  <c:v>180.84887374413239</c:v>
                </c:pt>
                <c:pt idx="1">
                  <c:v>185.48602435295635</c:v>
                </c:pt>
                <c:pt idx="2">
                  <c:v>190.36723552013936</c:v>
                </c:pt>
                <c:pt idx="3">
                  <c:v>195.51229593960261</c:v>
                </c:pt>
                <c:pt idx="4">
                  <c:v>200.94319304903604</c:v>
                </c:pt>
                <c:pt idx="5">
                  <c:v>206.68442713615138</c:v>
                </c:pt>
                <c:pt idx="6">
                  <c:v>212.76338087544991</c:v>
                </c:pt>
                <c:pt idx="7">
                  <c:v>219.2107560534939</c:v>
                </c:pt>
                <c:pt idx="8">
                  <c:v>226.06109218016556</c:v>
                </c:pt>
                <c:pt idx="9">
                  <c:v>233.35338547629993</c:v>
                </c:pt>
                <c:pt idx="10">
                  <c:v>241.13183165884328</c:v>
                </c:pt>
                <c:pt idx="11">
                  <c:v>249.44672240569997</c:v>
                </c:pt>
                <c:pt idx="12">
                  <c:v>258.35553392018926</c:v>
                </c:pt>
                <c:pt idx="13">
                  <c:v>267.92425739871481</c:v>
                </c:pt>
                <c:pt idx="14">
                  <c:v>278.22903652943467</c:v>
                </c:pt>
                <c:pt idx="15">
                  <c:v>289.35819799061198</c:v>
                </c:pt>
                <c:pt idx="16">
                  <c:v>301.41478957355417</c:v>
                </c:pt>
                <c:pt idx="17">
                  <c:v>314.5197804245783</c:v>
                </c:pt>
                <c:pt idx="18">
                  <c:v>328.816134080241</c:v>
                </c:pt>
                <c:pt idx="19">
                  <c:v>344.47404522691915</c:v>
                </c:pt>
                <c:pt idx="20">
                  <c:v>361.69774748826512</c:v>
                </c:pt>
                <c:pt idx="21">
                  <c:v>380.73447104027912</c:v>
                </c:pt>
                <c:pt idx="22">
                  <c:v>401.88638609807242</c:v>
                </c:pt>
                <c:pt idx="23">
                  <c:v>425.52676175090028</c:v>
                </c:pt>
                <c:pt idx="24">
                  <c:v>452.12218436033169</c:v>
                </c:pt>
                <c:pt idx="25">
                  <c:v>482.26366331768713</c:v>
                </c:pt>
                <c:pt idx="26">
                  <c:v>516.7110678403792</c:v>
                </c:pt>
                <c:pt idx="27">
                  <c:v>556.45807305887001</c:v>
                </c:pt>
                <c:pt idx="28">
                  <c:v>602.82957914710926</c:v>
                </c:pt>
                <c:pt idx="29">
                  <c:v>657.63226816048302</c:v>
                </c:pt>
                <c:pt idx="30">
                  <c:v>723.39549497653161</c:v>
                </c:pt>
                <c:pt idx="31">
                  <c:v>803.77277219614643</c:v>
                </c:pt>
                <c:pt idx="32">
                  <c:v>904.24436872066485</c:v>
                </c:pt>
                <c:pt idx="33">
                  <c:v>1033.4221356807604</c:v>
                </c:pt>
                <c:pt idx="34">
                  <c:v>1205.6591582942212</c:v>
                </c:pt>
                <c:pt idx="35">
                  <c:v>1446.7909899530664</c:v>
                </c:pt>
                <c:pt idx="36">
                  <c:v>1808.4887374413349</c:v>
                </c:pt>
                <c:pt idx="37">
                  <c:v>2411.3183165884516</c:v>
                </c:pt>
                <c:pt idx="38">
                  <c:v>3616.9774748826917</c:v>
                </c:pt>
                <c:pt idx="39">
                  <c:v>7233.9549497654707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86F1-534D-A577-1149F21955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514376"/>
        <c:axId val="2130520024"/>
      </c:scatterChart>
      <c:valAx>
        <c:axId val="2130514376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</a:t>
                </a:r>
                <a:r>
                  <a:rPr lang="en-US" baseline="0"/>
                  <a:t> of responders in the trial sample</a:t>
                </a:r>
                <a:endParaRPr lang="en-US"/>
              </a:p>
            </c:rich>
          </c:tx>
          <c:overlay val="0"/>
        </c:title>
        <c:numFmt formatCode="0.0%" sourceLinked="1"/>
        <c:majorTickMark val="out"/>
        <c:minorTickMark val="none"/>
        <c:tickLblPos val="nextTo"/>
        <c:crossAx val="2130520024"/>
        <c:crosses val="autoZero"/>
        <c:crossBetween val="midCat"/>
      </c:valAx>
      <c:valAx>
        <c:axId val="2130520024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Trial sample size</a:t>
                </a:r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130514376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'plot EI vs p-value, RR, SS'!$H$1</c:f>
              <c:strCache>
                <c:ptCount val="1"/>
                <c:pt idx="0">
                  <c:v>sample size</c:v>
                </c:pt>
              </c:strCache>
            </c:strRef>
          </c:tx>
          <c:marker>
            <c:symbol val="none"/>
          </c:marker>
          <c:xVal>
            <c:numRef>
              <c:f>'plot EI vs p-value, RR, SS'!$G$2:$G$41</c:f>
              <c:numCache>
                <c:formatCode>0%</c:formatCode>
                <c:ptCount val="40"/>
                <c:pt idx="0">
                  <c:v>0.33233618233618228</c:v>
                </c:pt>
                <c:pt idx="1">
                  <c:v>0.34902777777777788</c:v>
                </c:pt>
                <c:pt idx="2">
                  <c:v>0.3657193732193732</c:v>
                </c:pt>
                <c:pt idx="3">
                  <c:v>0.38241096866096869</c:v>
                </c:pt>
                <c:pt idx="4">
                  <c:v>0.39910256410256423</c:v>
                </c:pt>
                <c:pt idx="5">
                  <c:v>0.41579415954415971</c:v>
                </c:pt>
                <c:pt idx="6">
                  <c:v>0.4324857549857552</c:v>
                </c:pt>
                <c:pt idx="7">
                  <c:v>0.44917735042735074</c:v>
                </c:pt>
                <c:pt idx="8">
                  <c:v>0.46586894586894601</c:v>
                </c:pt>
                <c:pt idx="9">
                  <c:v>0.48256054131054144</c:v>
                </c:pt>
                <c:pt idx="10">
                  <c:v>0.49925213675213692</c:v>
                </c:pt>
                <c:pt idx="11">
                  <c:v>0.51594373219373235</c:v>
                </c:pt>
                <c:pt idx="12">
                  <c:v>0.53263532763532784</c:v>
                </c:pt>
                <c:pt idx="13">
                  <c:v>0.5493269230769231</c:v>
                </c:pt>
                <c:pt idx="14">
                  <c:v>0.56601851851851881</c:v>
                </c:pt>
                <c:pt idx="15">
                  <c:v>0.58271011396011418</c:v>
                </c:pt>
                <c:pt idx="16">
                  <c:v>0.59940170940170978</c:v>
                </c:pt>
                <c:pt idx="17">
                  <c:v>0.61609330484330505</c:v>
                </c:pt>
                <c:pt idx="18">
                  <c:v>0.63278490028490053</c:v>
                </c:pt>
                <c:pt idx="19">
                  <c:v>0.64947649572649579</c:v>
                </c:pt>
                <c:pt idx="20">
                  <c:v>0.66616809116809161</c:v>
                </c:pt>
                <c:pt idx="21">
                  <c:v>0.68285968660968688</c:v>
                </c:pt>
                <c:pt idx="22">
                  <c:v>0.69955128205128236</c:v>
                </c:pt>
                <c:pt idx="23">
                  <c:v>0.71624287749287785</c:v>
                </c:pt>
                <c:pt idx="24">
                  <c:v>0.73293447293447334</c:v>
                </c:pt>
                <c:pt idx="25">
                  <c:v>0.7496260683760686</c:v>
                </c:pt>
                <c:pt idx="26">
                  <c:v>0.7663176638176642</c:v>
                </c:pt>
                <c:pt idx="27">
                  <c:v>0.78300925925925968</c:v>
                </c:pt>
                <c:pt idx="28">
                  <c:v>0.79970085470085517</c:v>
                </c:pt>
                <c:pt idx="29">
                  <c:v>0.81639245014245043</c:v>
                </c:pt>
                <c:pt idx="30">
                  <c:v>0.83308404558404603</c:v>
                </c:pt>
                <c:pt idx="31">
                  <c:v>0.84977564102564151</c:v>
                </c:pt>
                <c:pt idx="32">
                  <c:v>0.86646723646723689</c:v>
                </c:pt>
                <c:pt idx="33">
                  <c:v>0.88315883190883238</c:v>
                </c:pt>
                <c:pt idx="34">
                  <c:v>0.89985042735042764</c:v>
                </c:pt>
                <c:pt idx="35">
                  <c:v>0.91654202279202324</c:v>
                </c:pt>
                <c:pt idx="36">
                  <c:v>0.93323361823361861</c:v>
                </c:pt>
                <c:pt idx="37">
                  <c:v>0.94992521367521399</c:v>
                </c:pt>
                <c:pt idx="38">
                  <c:v>0.96661680911680969</c:v>
                </c:pt>
                <c:pt idx="39">
                  <c:v>0.98330840455840496</c:v>
                </c:pt>
              </c:numCache>
            </c:numRef>
          </c:xVal>
          <c:yVal>
            <c:numRef>
              <c:f>'plot EI vs p-value, RR, SS'!$H$2:$H$41</c:f>
              <c:numCache>
                <c:formatCode>0</c:formatCode>
                <c:ptCount val="40"/>
                <c:pt idx="0">
                  <c:v>180.84887374413239</c:v>
                </c:pt>
                <c:pt idx="1">
                  <c:v>185.48602435295635</c:v>
                </c:pt>
                <c:pt idx="2">
                  <c:v>190.36723552013936</c:v>
                </c:pt>
                <c:pt idx="3">
                  <c:v>195.51229593960261</c:v>
                </c:pt>
                <c:pt idx="4">
                  <c:v>200.94319304903604</c:v>
                </c:pt>
                <c:pt idx="5">
                  <c:v>206.68442713615138</c:v>
                </c:pt>
                <c:pt idx="6">
                  <c:v>212.76338087544991</c:v>
                </c:pt>
                <c:pt idx="7">
                  <c:v>219.2107560534939</c:v>
                </c:pt>
                <c:pt idx="8">
                  <c:v>226.06109218016556</c:v>
                </c:pt>
                <c:pt idx="9">
                  <c:v>233.35338547629993</c:v>
                </c:pt>
                <c:pt idx="10">
                  <c:v>241.13183165884328</c:v>
                </c:pt>
                <c:pt idx="11">
                  <c:v>249.44672240569997</c:v>
                </c:pt>
                <c:pt idx="12">
                  <c:v>258.35553392018926</c:v>
                </c:pt>
                <c:pt idx="13">
                  <c:v>267.92425739871481</c:v>
                </c:pt>
                <c:pt idx="14">
                  <c:v>278.22903652943467</c:v>
                </c:pt>
                <c:pt idx="15">
                  <c:v>289.35819799061198</c:v>
                </c:pt>
                <c:pt idx="16">
                  <c:v>301.41478957355417</c:v>
                </c:pt>
                <c:pt idx="17">
                  <c:v>314.5197804245783</c:v>
                </c:pt>
                <c:pt idx="18">
                  <c:v>328.816134080241</c:v>
                </c:pt>
                <c:pt idx="19">
                  <c:v>344.47404522691915</c:v>
                </c:pt>
                <c:pt idx="20">
                  <c:v>361.69774748826512</c:v>
                </c:pt>
                <c:pt idx="21">
                  <c:v>380.73447104027912</c:v>
                </c:pt>
                <c:pt idx="22">
                  <c:v>401.88638609807242</c:v>
                </c:pt>
                <c:pt idx="23">
                  <c:v>425.52676175090028</c:v>
                </c:pt>
                <c:pt idx="24">
                  <c:v>452.12218436033169</c:v>
                </c:pt>
                <c:pt idx="25">
                  <c:v>482.26366331768713</c:v>
                </c:pt>
                <c:pt idx="26">
                  <c:v>516.7110678403792</c:v>
                </c:pt>
                <c:pt idx="27">
                  <c:v>556.45807305887001</c:v>
                </c:pt>
                <c:pt idx="28">
                  <c:v>602.82957914710926</c:v>
                </c:pt>
                <c:pt idx="29">
                  <c:v>657.63226816048302</c:v>
                </c:pt>
                <c:pt idx="30">
                  <c:v>723.39549497653161</c:v>
                </c:pt>
                <c:pt idx="31">
                  <c:v>803.77277219614643</c:v>
                </c:pt>
                <c:pt idx="32">
                  <c:v>904.24436872066485</c:v>
                </c:pt>
                <c:pt idx="33">
                  <c:v>1033.4221356807604</c:v>
                </c:pt>
                <c:pt idx="34">
                  <c:v>1205.6591582942212</c:v>
                </c:pt>
                <c:pt idx="35">
                  <c:v>1446.7909899530664</c:v>
                </c:pt>
                <c:pt idx="36">
                  <c:v>1808.4887374413349</c:v>
                </c:pt>
                <c:pt idx="37">
                  <c:v>2411.3183165884516</c:v>
                </c:pt>
                <c:pt idx="38">
                  <c:v>3616.9774748826917</c:v>
                </c:pt>
                <c:pt idx="39">
                  <c:v>7233.9549497654707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481-3647-A36A-5F83E9CA49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743000"/>
        <c:axId val="2129746024"/>
      </c:scatterChart>
      <c:valAx>
        <c:axId val="2129743000"/>
        <c:scaling>
          <c:orientation val="minMax"/>
          <c:max val="1"/>
        </c:scaling>
        <c:delete val="0"/>
        <c:axPos val="b"/>
        <c:numFmt formatCode="0%" sourceLinked="1"/>
        <c:majorTickMark val="out"/>
        <c:minorTickMark val="none"/>
        <c:tickLblPos val="nextTo"/>
        <c:crossAx val="2129746024"/>
        <c:crosses val="autoZero"/>
        <c:crossBetween val="midCat"/>
      </c:valAx>
      <c:valAx>
        <c:axId val="2129746024"/>
        <c:scaling>
          <c:orientation val="minMax"/>
          <c:max val="8000"/>
          <c:min val="0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sample</a:t>
                </a:r>
                <a:r>
                  <a:rPr lang="en-US" baseline="0"/>
                  <a:t> size</a:t>
                </a:r>
                <a:endParaRPr lang="en-US"/>
              </a:p>
            </c:rich>
          </c:tx>
          <c:overlay val="0"/>
        </c:title>
        <c:numFmt formatCode="0" sourceLinked="1"/>
        <c:majorTickMark val="out"/>
        <c:minorTickMark val="none"/>
        <c:tickLblPos val="nextTo"/>
        <c:crossAx val="2129743000"/>
        <c:crosses val="autoZero"/>
        <c:crossBetween val="midCat"/>
        <c:majorUnit val="1000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of responders and sample size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264305688424461"/>
          <c:y val="0.201538082980012"/>
          <c:w val="0.64813599234675101"/>
          <c:h val="0.58197191096305301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'plot sample size'!$B$1</c:f>
              <c:strCache>
                <c:ptCount val="1"/>
                <c:pt idx="0">
                  <c:v>sample size</c:v>
                </c:pt>
              </c:strCache>
            </c:strRef>
          </c:tx>
          <c:marker>
            <c:symbol val="none"/>
          </c:marker>
          <c:xVal>
            <c:numRef>
              <c:f>'plot sample size'!$A$2:$A$41</c:f>
              <c:numCache>
                <c:formatCode>0%</c:formatCode>
                <c:ptCount val="40"/>
                <c:pt idx="0">
                  <c:v>1</c:v>
                </c:pt>
                <c:pt idx="1">
                  <c:v>0.97499999999999998</c:v>
                </c:pt>
                <c:pt idx="2">
                  <c:v>0.95</c:v>
                </c:pt>
                <c:pt idx="3">
                  <c:v>0.92499999999999993</c:v>
                </c:pt>
                <c:pt idx="4">
                  <c:v>0.89999999999999991</c:v>
                </c:pt>
                <c:pt idx="5">
                  <c:v>0.87499999999999989</c:v>
                </c:pt>
                <c:pt idx="6">
                  <c:v>0.84999999999999987</c:v>
                </c:pt>
                <c:pt idx="7">
                  <c:v>0.82499999999999984</c:v>
                </c:pt>
                <c:pt idx="8">
                  <c:v>0.79999999999999982</c:v>
                </c:pt>
                <c:pt idx="9">
                  <c:v>0.7749999999999998</c:v>
                </c:pt>
                <c:pt idx="10">
                  <c:v>0.74999999999999978</c:v>
                </c:pt>
                <c:pt idx="11">
                  <c:v>0.72499999999999976</c:v>
                </c:pt>
                <c:pt idx="12">
                  <c:v>0.69999999999999973</c:v>
                </c:pt>
                <c:pt idx="13">
                  <c:v>0.67499999999999971</c:v>
                </c:pt>
                <c:pt idx="14">
                  <c:v>0.64999999999999969</c:v>
                </c:pt>
                <c:pt idx="15">
                  <c:v>0.62499999999999967</c:v>
                </c:pt>
                <c:pt idx="16">
                  <c:v>0.59999999999999964</c:v>
                </c:pt>
                <c:pt idx="17">
                  <c:v>0.57499999999999962</c:v>
                </c:pt>
                <c:pt idx="18">
                  <c:v>0.5499999999999996</c:v>
                </c:pt>
                <c:pt idx="19">
                  <c:v>0.52499999999999958</c:v>
                </c:pt>
                <c:pt idx="20">
                  <c:v>0.49999999999999956</c:v>
                </c:pt>
                <c:pt idx="21">
                  <c:v>0.47499999999999953</c:v>
                </c:pt>
                <c:pt idx="22">
                  <c:v>0.44999999999999951</c:v>
                </c:pt>
                <c:pt idx="23">
                  <c:v>0.42499999999999949</c:v>
                </c:pt>
                <c:pt idx="24">
                  <c:v>0.39999999999999947</c:v>
                </c:pt>
                <c:pt idx="25">
                  <c:v>0.37499999999999944</c:v>
                </c:pt>
                <c:pt idx="26">
                  <c:v>0.34999999999999942</c:v>
                </c:pt>
                <c:pt idx="27">
                  <c:v>0.3249999999999994</c:v>
                </c:pt>
                <c:pt idx="28">
                  <c:v>0.29999999999999938</c:v>
                </c:pt>
                <c:pt idx="29">
                  <c:v>0.27499999999999936</c:v>
                </c:pt>
                <c:pt idx="30">
                  <c:v>0.24999999999999936</c:v>
                </c:pt>
                <c:pt idx="31">
                  <c:v>0.22499999999999937</c:v>
                </c:pt>
                <c:pt idx="32">
                  <c:v>0.19999999999999937</c:v>
                </c:pt>
                <c:pt idx="33">
                  <c:v>0.17499999999999938</c:v>
                </c:pt>
                <c:pt idx="34">
                  <c:v>0.14999999999999938</c:v>
                </c:pt>
                <c:pt idx="35">
                  <c:v>0.12499999999999939</c:v>
                </c:pt>
                <c:pt idx="36">
                  <c:v>9.9999999999999395E-2</c:v>
                </c:pt>
                <c:pt idx="37">
                  <c:v>7.49999999999994E-2</c:v>
                </c:pt>
                <c:pt idx="38">
                  <c:v>4.9999999999999399E-2</c:v>
                </c:pt>
                <c:pt idx="39">
                  <c:v>2.4999999999999398E-2</c:v>
                </c:pt>
              </c:numCache>
            </c:numRef>
          </c:xVal>
          <c:yVal>
            <c:numRef>
              <c:f>'plot sample size'!$B$2:$B$41</c:f>
              <c:numCache>
                <c:formatCode>0</c:formatCode>
                <c:ptCount val="40"/>
                <c:pt idx="0">
                  <c:v>180.84887374413239</c:v>
                </c:pt>
                <c:pt idx="1">
                  <c:v>185.48602435295635</c:v>
                </c:pt>
                <c:pt idx="2">
                  <c:v>190.36723552013936</c:v>
                </c:pt>
                <c:pt idx="3">
                  <c:v>195.51229593960261</c:v>
                </c:pt>
                <c:pt idx="4">
                  <c:v>200.94319304903604</c:v>
                </c:pt>
                <c:pt idx="5">
                  <c:v>206.68442713615138</c:v>
                </c:pt>
                <c:pt idx="6">
                  <c:v>212.76338087544991</c:v>
                </c:pt>
                <c:pt idx="7">
                  <c:v>219.2107560534939</c:v>
                </c:pt>
                <c:pt idx="8">
                  <c:v>226.06109218016556</c:v>
                </c:pt>
                <c:pt idx="9">
                  <c:v>233.35338547629993</c:v>
                </c:pt>
                <c:pt idx="10">
                  <c:v>241.13183165884328</c:v>
                </c:pt>
                <c:pt idx="11">
                  <c:v>249.44672240569997</c:v>
                </c:pt>
                <c:pt idx="12">
                  <c:v>258.35553392018926</c:v>
                </c:pt>
                <c:pt idx="13">
                  <c:v>267.92425739871481</c:v>
                </c:pt>
                <c:pt idx="14">
                  <c:v>278.22903652943467</c:v>
                </c:pt>
                <c:pt idx="15">
                  <c:v>289.35819799061198</c:v>
                </c:pt>
                <c:pt idx="16">
                  <c:v>301.41478957355417</c:v>
                </c:pt>
                <c:pt idx="17">
                  <c:v>314.5197804245783</c:v>
                </c:pt>
                <c:pt idx="18">
                  <c:v>328.816134080241</c:v>
                </c:pt>
                <c:pt idx="19">
                  <c:v>344.47404522691915</c:v>
                </c:pt>
                <c:pt idx="20">
                  <c:v>361.69774748826512</c:v>
                </c:pt>
                <c:pt idx="21">
                  <c:v>380.73447104027912</c:v>
                </c:pt>
                <c:pt idx="22">
                  <c:v>401.88638609807242</c:v>
                </c:pt>
                <c:pt idx="23">
                  <c:v>425.52676175090028</c:v>
                </c:pt>
                <c:pt idx="24">
                  <c:v>452.12218436033169</c:v>
                </c:pt>
                <c:pt idx="25">
                  <c:v>482.26366331768713</c:v>
                </c:pt>
                <c:pt idx="26">
                  <c:v>516.7110678403792</c:v>
                </c:pt>
                <c:pt idx="27">
                  <c:v>556.45807305887001</c:v>
                </c:pt>
                <c:pt idx="28">
                  <c:v>602.82957914710926</c:v>
                </c:pt>
                <c:pt idx="29">
                  <c:v>657.63226816048302</c:v>
                </c:pt>
                <c:pt idx="30">
                  <c:v>723.39549497653161</c:v>
                </c:pt>
                <c:pt idx="31">
                  <c:v>803.77277219614643</c:v>
                </c:pt>
                <c:pt idx="32">
                  <c:v>904.24436872066485</c:v>
                </c:pt>
                <c:pt idx="33">
                  <c:v>1033.4221356807604</c:v>
                </c:pt>
                <c:pt idx="34">
                  <c:v>1205.6591582942212</c:v>
                </c:pt>
                <c:pt idx="35">
                  <c:v>1446.7909899530664</c:v>
                </c:pt>
                <c:pt idx="36">
                  <c:v>1808.4887374413349</c:v>
                </c:pt>
                <c:pt idx="37">
                  <c:v>2411.3183165884516</c:v>
                </c:pt>
                <c:pt idx="38">
                  <c:v>3616.9774748826917</c:v>
                </c:pt>
                <c:pt idx="39">
                  <c:v>7233.9549497654707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0331-BF4A-A139-684A3BD3FD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598472"/>
        <c:axId val="2130604200"/>
      </c:scatterChart>
      <c:valAx>
        <c:axId val="2130598472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% of responders in the trial sample</a:t>
                </a:r>
              </a:p>
            </c:rich>
          </c:tx>
          <c:layout>
            <c:manualLayout>
              <c:xMode val="edge"/>
              <c:yMode val="edge"/>
              <c:x val="0.18825504129057"/>
              <c:y val="0.89134615384615401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130604200"/>
        <c:crosses val="autoZero"/>
        <c:crossBetween val="midCat"/>
      </c:valAx>
      <c:valAx>
        <c:axId val="21306042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Trial sample size</a:t>
                </a:r>
              </a:p>
            </c:rich>
          </c:tx>
          <c:layout>
            <c:manualLayout>
              <c:xMode val="edge"/>
              <c:yMode val="edge"/>
              <c:x val="2.4390243902439001E-2"/>
              <c:y val="0.32055648092065397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130598472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900">
          <a:latin typeface="Arial"/>
          <a:cs typeface="Arial"/>
        </a:defRPr>
      </a:pPr>
      <a:endParaRPr lang="fr-FR"/>
    </a:p>
  </c:txPr>
  <c:printSettings>
    <c:headerFooter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Percentage of responders and trial relative risk (RR)</a:t>
            </a:r>
          </a:p>
        </c:rich>
      </c:tx>
      <c:layout>
        <c:manualLayout>
          <c:xMode val="edge"/>
          <c:yMode val="edge"/>
          <c:x val="0.13563864861719899"/>
          <c:y val="4.9019607843137202E-3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26157868197509798"/>
          <c:y val="0.161764705882353"/>
          <c:w val="0.64023156588185104"/>
          <c:h val="0.63807241006638904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'plot RR'!$B$1</c:f>
              <c:strCache>
                <c:ptCount val="1"/>
                <c:pt idx="0">
                  <c:v>RR</c:v>
                </c:pt>
              </c:strCache>
            </c:strRef>
          </c:tx>
          <c:marker>
            <c:symbol val="none"/>
          </c:marker>
          <c:xVal>
            <c:numRef>
              <c:f>'plot RR'!$A$2:$A$41</c:f>
              <c:numCache>
                <c:formatCode>0%</c:formatCode>
                <c:ptCount val="40"/>
                <c:pt idx="0">
                  <c:v>1</c:v>
                </c:pt>
                <c:pt idx="1">
                  <c:v>0.97499999999999998</c:v>
                </c:pt>
                <c:pt idx="2">
                  <c:v>0.95</c:v>
                </c:pt>
                <c:pt idx="3">
                  <c:v>0.92499999999999993</c:v>
                </c:pt>
                <c:pt idx="4">
                  <c:v>0.89999999999999991</c:v>
                </c:pt>
                <c:pt idx="5">
                  <c:v>0.87499999999999989</c:v>
                </c:pt>
                <c:pt idx="6">
                  <c:v>0.84999999999999987</c:v>
                </c:pt>
                <c:pt idx="7">
                  <c:v>0.82499999999999984</c:v>
                </c:pt>
                <c:pt idx="8">
                  <c:v>0.79999999999999982</c:v>
                </c:pt>
                <c:pt idx="9">
                  <c:v>0.7749999999999998</c:v>
                </c:pt>
                <c:pt idx="10">
                  <c:v>0.74999999999999978</c:v>
                </c:pt>
                <c:pt idx="11">
                  <c:v>0.72499999999999976</c:v>
                </c:pt>
                <c:pt idx="12">
                  <c:v>0.69999999999999973</c:v>
                </c:pt>
                <c:pt idx="13">
                  <c:v>0.67499999999999971</c:v>
                </c:pt>
                <c:pt idx="14">
                  <c:v>0.64999999999999969</c:v>
                </c:pt>
                <c:pt idx="15">
                  <c:v>0.62499999999999967</c:v>
                </c:pt>
                <c:pt idx="16">
                  <c:v>0.59999999999999964</c:v>
                </c:pt>
                <c:pt idx="17">
                  <c:v>0.57499999999999962</c:v>
                </c:pt>
                <c:pt idx="18">
                  <c:v>0.5499999999999996</c:v>
                </c:pt>
                <c:pt idx="19">
                  <c:v>0.52499999999999958</c:v>
                </c:pt>
                <c:pt idx="20">
                  <c:v>0.49999999999999956</c:v>
                </c:pt>
                <c:pt idx="21">
                  <c:v>0.47499999999999953</c:v>
                </c:pt>
                <c:pt idx="22">
                  <c:v>0.44999999999999951</c:v>
                </c:pt>
                <c:pt idx="23">
                  <c:v>0.42499999999999949</c:v>
                </c:pt>
                <c:pt idx="24">
                  <c:v>0.39999999999999947</c:v>
                </c:pt>
                <c:pt idx="25">
                  <c:v>0.37499999999999944</c:v>
                </c:pt>
                <c:pt idx="26">
                  <c:v>0.34999999999999942</c:v>
                </c:pt>
                <c:pt idx="27">
                  <c:v>0.3249999999999994</c:v>
                </c:pt>
                <c:pt idx="28">
                  <c:v>0.29999999999999938</c:v>
                </c:pt>
                <c:pt idx="29">
                  <c:v>0.27499999999999936</c:v>
                </c:pt>
                <c:pt idx="30">
                  <c:v>0.24999999999999936</c:v>
                </c:pt>
                <c:pt idx="31">
                  <c:v>0.22499999999999937</c:v>
                </c:pt>
                <c:pt idx="32">
                  <c:v>0.19999999999999937</c:v>
                </c:pt>
                <c:pt idx="33">
                  <c:v>0.17499999999999938</c:v>
                </c:pt>
                <c:pt idx="34">
                  <c:v>0.14999999999999938</c:v>
                </c:pt>
                <c:pt idx="35">
                  <c:v>0.12499999999999939</c:v>
                </c:pt>
                <c:pt idx="36">
                  <c:v>9.9999999999999395E-2</c:v>
                </c:pt>
                <c:pt idx="37">
                  <c:v>7.49999999999994E-2</c:v>
                </c:pt>
                <c:pt idx="38">
                  <c:v>4.9999999999999399E-2</c:v>
                </c:pt>
                <c:pt idx="39">
                  <c:v>2.4999999999999398E-2</c:v>
                </c:pt>
              </c:numCache>
            </c:numRef>
          </c:xVal>
          <c:yVal>
            <c:numRef>
              <c:f>'plot RR'!$B$2:$B$41</c:f>
              <c:numCache>
                <c:formatCode>General</c:formatCode>
                <c:ptCount val="40"/>
                <c:pt idx="0">
                  <c:v>0</c:v>
                </c:pt>
                <c:pt idx="1">
                  <c:v>2.1276362400061504E-3</c:v>
                </c:pt>
                <c:pt idx="2">
                  <c:v>4.3574942162125695E-3</c:v>
                </c:pt>
                <c:pt idx="3">
                  <c:v>6.6971220786394064E-3</c:v>
                </c:pt>
                <c:pt idx="4">
                  <c:v>9.1548298806097082E-3</c:v>
                </c:pt>
                <c:pt idx="5">
                  <c:v>1.1739788199697447E-2</c:v>
                </c:pt>
                <c:pt idx="6">
                  <c:v>1.4462142484407242E-2</c:v>
                </c:pt>
                <c:pt idx="7">
                  <c:v>1.7333146131951482E-2</c:v>
                </c:pt>
                <c:pt idx="8">
                  <c:v>2.036531597732524E-2</c:v>
                </c:pt>
                <c:pt idx="9">
                  <c:v>2.3572614724108633E-2</c:v>
                </c:pt>
                <c:pt idx="10">
                  <c:v>2.6970665925205094E-2</c:v>
                </c:pt>
                <c:pt idx="11">
                  <c:v>3.0577008496797623E-2</c:v>
                </c:pt>
                <c:pt idx="12">
                  <c:v>3.4411399515165891E-2</c:v>
                </c:pt>
                <c:pt idx="13">
                  <c:v>3.8496176331415194E-2</c:v>
                </c:pt>
                <c:pt idx="14">
                  <c:v>4.2856692018809046E-2</c:v>
                </c:pt>
                <c:pt idx="15">
                  <c:v>4.7521842083775676E-2</c:v>
                </c:pt>
                <c:pt idx="16">
                  <c:v>5.2524705563828426E-2</c:v>
                </c:pt>
                <c:pt idx="17">
                  <c:v>5.7903330582720375E-2</c:v>
                </c:pt>
                <c:pt idx="18">
                  <c:v>6.3701703819913288E-2</c:v>
                </c:pt>
                <c:pt idx="19">
                  <c:v>6.9970956168492304E-2</c:v>
                </c:pt>
                <c:pt idx="20">
                  <c:v>7.677087455480823E-2</c:v>
                </c:pt>
                <c:pt idx="21">
                  <c:v>8.4171814631929243E-2</c:v>
                </c:pt>
                <c:pt idx="22">
                  <c:v>9.2257144092343757E-2</c:v>
                </c:pt>
                <c:pt idx="23">
                  <c:v>0.10112639666387163</c:v>
                </c:pt>
                <c:pt idx="24">
                  <c:v>0.11089939024390268</c:v>
                </c:pt>
                <c:pt idx="25">
                  <c:v>0.12172167147697353</c:v>
                </c:pt>
                <c:pt idx="26">
                  <c:v>0.13377181350448233</c:v>
                </c:pt>
                <c:pt idx="27">
                  <c:v>0.14727134703517339</c:v>
                </c:pt>
                <c:pt idx="28">
                  <c:v>0.16249850424793624</c:v>
                </c:pt>
                <c:pt idx="29">
                  <c:v>0.17980760011505689</c:v>
                </c:pt>
                <c:pt idx="30">
                  <c:v>0.19965694682675872</c:v>
                </c:pt>
                <c:pt idx="31">
                  <c:v>0.22265003146866158</c:v>
                </c:pt>
                <c:pt idx="32">
                  <c:v>0.24959794146027736</c:v>
                </c:pt>
                <c:pt idx="33">
                  <c:v>0.2816170325078089</c:v>
                </c:pt>
                <c:pt idx="34">
                  <c:v>0.32028746236768102</c:v>
                </c:pt>
                <c:pt idx="35">
                  <c:v>0.36792197236521396</c:v>
                </c:pt>
                <c:pt idx="36">
                  <c:v>0.42804608972787611</c:v>
                </c:pt>
                <c:pt idx="37">
                  <c:v>0.50631304225153628</c:v>
                </c:pt>
                <c:pt idx="38">
                  <c:v>0.61239408539624818</c:v>
                </c:pt>
                <c:pt idx="39">
                  <c:v>0.76431962824528166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E4AD-F241-8BA1-3D97A19890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621848"/>
        <c:axId val="2130627416"/>
      </c:scatterChart>
      <c:valAx>
        <c:axId val="2130621848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900" b="0"/>
                </a:pPr>
                <a:r>
                  <a:rPr lang="en-US" sz="900" b="0"/>
                  <a:t>% of responders in the trial sample</a:t>
                </a:r>
              </a:p>
            </c:rich>
          </c:tx>
          <c:layout>
            <c:manualLayout>
              <c:xMode val="edge"/>
              <c:yMode val="edge"/>
              <c:x val="0.24680035685194501"/>
              <c:y val="0.89313725490196105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130627416"/>
        <c:crosses val="autoZero"/>
        <c:crossBetween val="midCat"/>
      </c:valAx>
      <c:valAx>
        <c:axId val="213062741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/>
                </a:pPr>
                <a:r>
                  <a:rPr lang="en-US" sz="900" b="0"/>
                  <a:t>Relative risk computed on trial summary data</a:t>
                </a:r>
              </a:p>
            </c:rich>
          </c:tx>
          <c:layout>
            <c:manualLayout>
              <c:xMode val="edge"/>
              <c:yMode val="edge"/>
              <c:x val="1.47783251231527E-2"/>
              <c:y val="0.1617647058823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13062184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Arial"/>
          <a:cs typeface="Arial"/>
        </a:defRPr>
      </a:pPr>
      <a:endParaRPr lang="fr-FR"/>
    </a:p>
  </c:txPr>
  <c:printSettings>
    <c:headerFooter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Percentage of responders and ethical losses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'plot ethical losses'!$B$1</c:f>
              <c:strCache>
                <c:ptCount val="1"/>
                <c:pt idx="0">
                  <c:v>ethical losses in % of enrolled patients</c:v>
                </c:pt>
              </c:strCache>
            </c:strRef>
          </c:tx>
          <c:marker>
            <c:symbol val="none"/>
          </c:marker>
          <c:xVal>
            <c:numRef>
              <c:f>'plot ethical losses'!$A$2:$A$41</c:f>
              <c:numCache>
                <c:formatCode>0%</c:formatCode>
                <c:ptCount val="40"/>
                <c:pt idx="0">
                  <c:v>1</c:v>
                </c:pt>
                <c:pt idx="1">
                  <c:v>0.97499999999999998</c:v>
                </c:pt>
                <c:pt idx="2">
                  <c:v>0.95</c:v>
                </c:pt>
                <c:pt idx="3">
                  <c:v>0.92499999999999993</c:v>
                </c:pt>
                <c:pt idx="4">
                  <c:v>0.89999999999999991</c:v>
                </c:pt>
                <c:pt idx="5">
                  <c:v>0.87499999999999989</c:v>
                </c:pt>
                <c:pt idx="6">
                  <c:v>0.84999999999999987</c:v>
                </c:pt>
                <c:pt idx="7">
                  <c:v>0.82499999999999984</c:v>
                </c:pt>
                <c:pt idx="8">
                  <c:v>0.79999999999999982</c:v>
                </c:pt>
                <c:pt idx="9">
                  <c:v>0.7749999999999998</c:v>
                </c:pt>
                <c:pt idx="10">
                  <c:v>0.74999999999999978</c:v>
                </c:pt>
                <c:pt idx="11">
                  <c:v>0.72499999999999976</c:v>
                </c:pt>
                <c:pt idx="12">
                  <c:v>0.69999999999999973</c:v>
                </c:pt>
                <c:pt idx="13">
                  <c:v>0.67499999999999971</c:v>
                </c:pt>
                <c:pt idx="14">
                  <c:v>0.64999999999999969</c:v>
                </c:pt>
                <c:pt idx="15">
                  <c:v>0.62499999999999967</c:v>
                </c:pt>
                <c:pt idx="16">
                  <c:v>0.59999999999999964</c:v>
                </c:pt>
                <c:pt idx="17">
                  <c:v>0.57499999999999962</c:v>
                </c:pt>
                <c:pt idx="18">
                  <c:v>0.5499999999999996</c:v>
                </c:pt>
                <c:pt idx="19">
                  <c:v>0.52499999999999958</c:v>
                </c:pt>
                <c:pt idx="20">
                  <c:v>0.49999999999999956</c:v>
                </c:pt>
                <c:pt idx="21">
                  <c:v>0.47499999999999953</c:v>
                </c:pt>
                <c:pt idx="22">
                  <c:v>0.44999999999999951</c:v>
                </c:pt>
                <c:pt idx="23">
                  <c:v>0.42499999999999949</c:v>
                </c:pt>
                <c:pt idx="24">
                  <c:v>0.39999999999999947</c:v>
                </c:pt>
                <c:pt idx="25">
                  <c:v>0.37499999999999944</c:v>
                </c:pt>
                <c:pt idx="26">
                  <c:v>0.34999999999999942</c:v>
                </c:pt>
                <c:pt idx="27">
                  <c:v>0.3249999999999994</c:v>
                </c:pt>
                <c:pt idx="28">
                  <c:v>0.29999999999999938</c:v>
                </c:pt>
                <c:pt idx="29">
                  <c:v>0.27499999999999936</c:v>
                </c:pt>
                <c:pt idx="30">
                  <c:v>0.24999999999999936</c:v>
                </c:pt>
                <c:pt idx="31">
                  <c:v>0.22499999999999937</c:v>
                </c:pt>
                <c:pt idx="32">
                  <c:v>0.19999999999999937</c:v>
                </c:pt>
                <c:pt idx="33">
                  <c:v>0.17499999999999938</c:v>
                </c:pt>
                <c:pt idx="34">
                  <c:v>0.14999999999999938</c:v>
                </c:pt>
                <c:pt idx="35">
                  <c:v>0.12499999999999939</c:v>
                </c:pt>
                <c:pt idx="36">
                  <c:v>9.9999999999999395E-2</c:v>
                </c:pt>
                <c:pt idx="37">
                  <c:v>7.49999999999994E-2</c:v>
                </c:pt>
                <c:pt idx="38">
                  <c:v>4.9999999999999399E-2</c:v>
                </c:pt>
                <c:pt idx="39">
                  <c:v>2.4999999999999398E-2</c:v>
                </c:pt>
              </c:numCache>
            </c:numRef>
          </c:xVal>
          <c:yVal>
            <c:numRef>
              <c:f>'plot ethical losses'!$B$2:$B$41</c:f>
              <c:numCache>
                <c:formatCode>0%</c:formatCode>
                <c:ptCount val="40"/>
                <c:pt idx="0">
                  <c:v>0.33233618233618228</c:v>
                </c:pt>
                <c:pt idx="1">
                  <c:v>0.34902777777777788</c:v>
                </c:pt>
                <c:pt idx="2">
                  <c:v>0.3657193732193732</c:v>
                </c:pt>
                <c:pt idx="3">
                  <c:v>0.38241096866096869</c:v>
                </c:pt>
                <c:pt idx="4">
                  <c:v>0.39910256410256423</c:v>
                </c:pt>
                <c:pt idx="5">
                  <c:v>0.41579415954415971</c:v>
                </c:pt>
                <c:pt idx="6">
                  <c:v>0.4324857549857552</c:v>
                </c:pt>
                <c:pt idx="7">
                  <c:v>0.44917735042735074</c:v>
                </c:pt>
                <c:pt idx="8">
                  <c:v>0.46586894586894601</c:v>
                </c:pt>
                <c:pt idx="9">
                  <c:v>0.48256054131054144</c:v>
                </c:pt>
                <c:pt idx="10">
                  <c:v>0.49925213675213692</c:v>
                </c:pt>
                <c:pt idx="11">
                  <c:v>0.51594373219373235</c:v>
                </c:pt>
                <c:pt idx="12">
                  <c:v>0.53263532763532784</c:v>
                </c:pt>
                <c:pt idx="13">
                  <c:v>0.5493269230769231</c:v>
                </c:pt>
                <c:pt idx="14">
                  <c:v>0.56601851851851881</c:v>
                </c:pt>
                <c:pt idx="15">
                  <c:v>0.58271011396011418</c:v>
                </c:pt>
                <c:pt idx="16">
                  <c:v>0.59940170940170978</c:v>
                </c:pt>
                <c:pt idx="17">
                  <c:v>0.61609330484330505</c:v>
                </c:pt>
                <c:pt idx="18">
                  <c:v>0.63278490028490053</c:v>
                </c:pt>
                <c:pt idx="19">
                  <c:v>0.64947649572649579</c:v>
                </c:pt>
                <c:pt idx="20">
                  <c:v>0.66616809116809161</c:v>
                </c:pt>
                <c:pt idx="21">
                  <c:v>0.68285968660968688</c:v>
                </c:pt>
                <c:pt idx="22">
                  <c:v>0.69955128205128236</c:v>
                </c:pt>
                <c:pt idx="23">
                  <c:v>0.71624287749287785</c:v>
                </c:pt>
                <c:pt idx="24">
                  <c:v>0.73293447293447334</c:v>
                </c:pt>
                <c:pt idx="25">
                  <c:v>0.7496260683760686</c:v>
                </c:pt>
                <c:pt idx="26">
                  <c:v>0.7663176638176642</c:v>
                </c:pt>
                <c:pt idx="27">
                  <c:v>0.78300925925925968</c:v>
                </c:pt>
                <c:pt idx="28">
                  <c:v>0.79970085470085517</c:v>
                </c:pt>
                <c:pt idx="29">
                  <c:v>0.81639245014245043</c:v>
                </c:pt>
                <c:pt idx="30">
                  <c:v>0.83308404558404603</c:v>
                </c:pt>
                <c:pt idx="31">
                  <c:v>0.84977564102564151</c:v>
                </c:pt>
                <c:pt idx="32">
                  <c:v>0.86646723646723689</c:v>
                </c:pt>
                <c:pt idx="33">
                  <c:v>0.88315883190883238</c:v>
                </c:pt>
                <c:pt idx="34">
                  <c:v>0.89985042735042764</c:v>
                </c:pt>
                <c:pt idx="35">
                  <c:v>0.91654202279202324</c:v>
                </c:pt>
                <c:pt idx="36">
                  <c:v>0.93323361823361861</c:v>
                </c:pt>
                <c:pt idx="37">
                  <c:v>0.94992521367521399</c:v>
                </c:pt>
                <c:pt idx="38">
                  <c:v>0.96661680911680969</c:v>
                </c:pt>
                <c:pt idx="39">
                  <c:v>0.98330840455840496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B4F6-0241-9B89-18C89FCA48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0681624"/>
        <c:axId val="2130687352"/>
      </c:scatterChart>
      <c:valAx>
        <c:axId val="2130681624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Percentage of responders in the trial sample</a:t>
                </a:r>
              </a:p>
            </c:rich>
          </c:tx>
          <c:layout>
            <c:manualLayout>
              <c:xMode val="edge"/>
              <c:yMode val="edge"/>
              <c:x val="0.15532547729478999"/>
              <c:y val="0.89624573378839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130687352"/>
        <c:crosses val="autoZero"/>
        <c:crossBetween val="midCat"/>
      </c:valAx>
      <c:valAx>
        <c:axId val="2130687352"/>
        <c:scaling>
          <c:orientation val="minMax"/>
          <c:max val="1"/>
          <c:min val="0.3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Ethical losses (% of enrolled patients)</a:t>
                </a:r>
              </a:p>
            </c:rich>
          </c:tx>
          <c:layout>
            <c:manualLayout>
              <c:xMode val="edge"/>
              <c:yMode val="edge"/>
              <c:x val="3.6093693563533903E-2"/>
              <c:y val="0.112127773801002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130681624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 sz="1000"/>
      </a:pPr>
      <a:endParaRPr lang="fr-FR"/>
    </a:p>
  </c:txPr>
  <c:printSettings>
    <c:headerFooter/>
    <c:pageMargins b="1" l="0.75" r="0.75" t="1" header="0.5" footer="0.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200" b="0">
                <a:latin typeface="Arial Narrow"/>
                <a:cs typeface="Arial Narrow"/>
              </a:defRPr>
            </a:pPr>
            <a:r>
              <a:rPr lang="en-US" sz="1200" b="1">
                <a:latin typeface="Arial Narrow"/>
                <a:cs typeface="Arial Narrow"/>
              </a:rPr>
              <a:t>Percentage</a:t>
            </a:r>
            <a:r>
              <a:rPr lang="en-US" sz="1200" b="1" baseline="0">
                <a:latin typeface="Arial Narrow"/>
                <a:cs typeface="Arial Narrow"/>
              </a:rPr>
              <a:t> of responders and e</a:t>
            </a:r>
            <a:r>
              <a:rPr lang="en-US" sz="1200" b="1">
                <a:latin typeface="Arial Narrow"/>
                <a:cs typeface="Arial Narrow"/>
              </a:rPr>
              <a:t>thical losses</a:t>
            </a: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0.30493856746167602"/>
          <c:y val="0.20616740088105701"/>
          <c:w val="0.57982007683822101"/>
          <c:h val="0.59412674737243698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'plot ethical losses'!$B$1</c:f>
              <c:strCache>
                <c:ptCount val="1"/>
                <c:pt idx="0">
                  <c:v>ethical losses in % of enrolled patients</c:v>
                </c:pt>
              </c:strCache>
            </c:strRef>
          </c:tx>
          <c:marker>
            <c:symbol val="none"/>
          </c:marker>
          <c:xVal>
            <c:numRef>
              <c:f>'plot ethical losses'!$A$2:$A$41</c:f>
              <c:numCache>
                <c:formatCode>0%</c:formatCode>
                <c:ptCount val="40"/>
                <c:pt idx="0">
                  <c:v>1</c:v>
                </c:pt>
                <c:pt idx="1">
                  <c:v>0.97499999999999998</c:v>
                </c:pt>
                <c:pt idx="2">
                  <c:v>0.95</c:v>
                </c:pt>
                <c:pt idx="3">
                  <c:v>0.92499999999999993</c:v>
                </c:pt>
                <c:pt idx="4">
                  <c:v>0.89999999999999991</c:v>
                </c:pt>
                <c:pt idx="5">
                  <c:v>0.87499999999999989</c:v>
                </c:pt>
                <c:pt idx="6">
                  <c:v>0.84999999999999987</c:v>
                </c:pt>
                <c:pt idx="7">
                  <c:v>0.82499999999999984</c:v>
                </c:pt>
                <c:pt idx="8">
                  <c:v>0.79999999999999982</c:v>
                </c:pt>
                <c:pt idx="9">
                  <c:v>0.7749999999999998</c:v>
                </c:pt>
                <c:pt idx="10">
                  <c:v>0.74999999999999978</c:v>
                </c:pt>
                <c:pt idx="11">
                  <c:v>0.72499999999999976</c:v>
                </c:pt>
                <c:pt idx="12">
                  <c:v>0.69999999999999973</c:v>
                </c:pt>
                <c:pt idx="13">
                  <c:v>0.67499999999999971</c:v>
                </c:pt>
                <c:pt idx="14">
                  <c:v>0.64999999999999969</c:v>
                </c:pt>
                <c:pt idx="15">
                  <c:v>0.62499999999999967</c:v>
                </c:pt>
                <c:pt idx="16">
                  <c:v>0.59999999999999964</c:v>
                </c:pt>
                <c:pt idx="17">
                  <c:v>0.57499999999999962</c:v>
                </c:pt>
                <c:pt idx="18">
                  <c:v>0.5499999999999996</c:v>
                </c:pt>
                <c:pt idx="19">
                  <c:v>0.52499999999999958</c:v>
                </c:pt>
                <c:pt idx="20">
                  <c:v>0.49999999999999956</c:v>
                </c:pt>
                <c:pt idx="21">
                  <c:v>0.47499999999999953</c:v>
                </c:pt>
                <c:pt idx="22">
                  <c:v>0.44999999999999951</c:v>
                </c:pt>
                <c:pt idx="23">
                  <c:v>0.42499999999999949</c:v>
                </c:pt>
                <c:pt idx="24">
                  <c:v>0.39999999999999947</c:v>
                </c:pt>
                <c:pt idx="25">
                  <c:v>0.37499999999999944</c:v>
                </c:pt>
                <c:pt idx="26">
                  <c:v>0.34999999999999942</c:v>
                </c:pt>
                <c:pt idx="27">
                  <c:v>0.3249999999999994</c:v>
                </c:pt>
                <c:pt idx="28">
                  <c:v>0.29999999999999938</c:v>
                </c:pt>
                <c:pt idx="29">
                  <c:v>0.27499999999999936</c:v>
                </c:pt>
                <c:pt idx="30">
                  <c:v>0.24999999999999936</c:v>
                </c:pt>
                <c:pt idx="31">
                  <c:v>0.22499999999999937</c:v>
                </c:pt>
                <c:pt idx="32">
                  <c:v>0.19999999999999937</c:v>
                </c:pt>
                <c:pt idx="33">
                  <c:v>0.17499999999999938</c:v>
                </c:pt>
                <c:pt idx="34">
                  <c:v>0.14999999999999938</c:v>
                </c:pt>
                <c:pt idx="35">
                  <c:v>0.12499999999999939</c:v>
                </c:pt>
                <c:pt idx="36">
                  <c:v>9.9999999999999395E-2</c:v>
                </c:pt>
                <c:pt idx="37">
                  <c:v>7.49999999999994E-2</c:v>
                </c:pt>
                <c:pt idx="38">
                  <c:v>4.9999999999999399E-2</c:v>
                </c:pt>
                <c:pt idx="39">
                  <c:v>2.4999999999999398E-2</c:v>
                </c:pt>
              </c:numCache>
            </c:numRef>
          </c:xVal>
          <c:yVal>
            <c:numRef>
              <c:f>'plot ethical losses'!$B$2:$B$41</c:f>
              <c:numCache>
                <c:formatCode>0%</c:formatCode>
                <c:ptCount val="40"/>
                <c:pt idx="0">
                  <c:v>0.33233618233618228</c:v>
                </c:pt>
                <c:pt idx="1">
                  <c:v>0.34902777777777788</c:v>
                </c:pt>
                <c:pt idx="2">
                  <c:v>0.3657193732193732</c:v>
                </c:pt>
                <c:pt idx="3">
                  <c:v>0.38241096866096869</c:v>
                </c:pt>
                <c:pt idx="4">
                  <c:v>0.39910256410256423</c:v>
                </c:pt>
                <c:pt idx="5">
                  <c:v>0.41579415954415971</c:v>
                </c:pt>
                <c:pt idx="6">
                  <c:v>0.4324857549857552</c:v>
                </c:pt>
                <c:pt idx="7">
                  <c:v>0.44917735042735074</c:v>
                </c:pt>
                <c:pt idx="8">
                  <c:v>0.46586894586894601</c:v>
                </c:pt>
                <c:pt idx="9">
                  <c:v>0.48256054131054144</c:v>
                </c:pt>
                <c:pt idx="10">
                  <c:v>0.49925213675213692</c:v>
                </c:pt>
                <c:pt idx="11">
                  <c:v>0.51594373219373235</c:v>
                </c:pt>
                <c:pt idx="12">
                  <c:v>0.53263532763532784</c:v>
                </c:pt>
                <c:pt idx="13">
                  <c:v>0.5493269230769231</c:v>
                </c:pt>
                <c:pt idx="14">
                  <c:v>0.56601851851851881</c:v>
                </c:pt>
                <c:pt idx="15">
                  <c:v>0.58271011396011418</c:v>
                </c:pt>
                <c:pt idx="16">
                  <c:v>0.59940170940170978</c:v>
                </c:pt>
                <c:pt idx="17">
                  <c:v>0.61609330484330505</c:v>
                </c:pt>
                <c:pt idx="18">
                  <c:v>0.63278490028490053</c:v>
                </c:pt>
                <c:pt idx="19">
                  <c:v>0.64947649572649579</c:v>
                </c:pt>
                <c:pt idx="20">
                  <c:v>0.66616809116809161</c:v>
                </c:pt>
                <c:pt idx="21">
                  <c:v>0.68285968660968688</c:v>
                </c:pt>
                <c:pt idx="22">
                  <c:v>0.69955128205128236</c:v>
                </c:pt>
                <c:pt idx="23">
                  <c:v>0.71624287749287785</c:v>
                </c:pt>
                <c:pt idx="24">
                  <c:v>0.73293447293447334</c:v>
                </c:pt>
                <c:pt idx="25">
                  <c:v>0.7496260683760686</c:v>
                </c:pt>
                <c:pt idx="26">
                  <c:v>0.7663176638176642</c:v>
                </c:pt>
                <c:pt idx="27">
                  <c:v>0.78300925925925968</c:v>
                </c:pt>
                <c:pt idx="28">
                  <c:v>0.79970085470085517</c:v>
                </c:pt>
                <c:pt idx="29">
                  <c:v>0.81639245014245043</c:v>
                </c:pt>
                <c:pt idx="30">
                  <c:v>0.83308404558404603</c:v>
                </c:pt>
                <c:pt idx="31">
                  <c:v>0.84977564102564151</c:v>
                </c:pt>
                <c:pt idx="32">
                  <c:v>0.86646723646723689</c:v>
                </c:pt>
                <c:pt idx="33">
                  <c:v>0.88315883190883238</c:v>
                </c:pt>
                <c:pt idx="34">
                  <c:v>0.89985042735042764</c:v>
                </c:pt>
                <c:pt idx="35">
                  <c:v>0.91654202279202324</c:v>
                </c:pt>
                <c:pt idx="36">
                  <c:v>0.93323361823361861</c:v>
                </c:pt>
                <c:pt idx="37">
                  <c:v>0.94992521367521399</c:v>
                </c:pt>
                <c:pt idx="38">
                  <c:v>0.96661680911680969</c:v>
                </c:pt>
                <c:pt idx="39">
                  <c:v>0.98330840455840496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92CF-4B18-B94F-47E9B409CD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8642520"/>
        <c:axId val="2138657944"/>
      </c:scatterChart>
      <c:valAx>
        <c:axId val="213864252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900" b="0">
                    <a:latin typeface="Arial Narrow"/>
                    <a:cs typeface="Arial Narrow"/>
                  </a:defRPr>
                </a:pPr>
                <a:r>
                  <a:rPr lang="en-US" sz="900" b="0">
                    <a:latin typeface="Arial Narrow"/>
                    <a:cs typeface="Arial Narrow"/>
                  </a:rPr>
                  <a:t>Percentage</a:t>
                </a:r>
                <a:r>
                  <a:rPr lang="en-US" sz="900" b="0" baseline="0">
                    <a:latin typeface="Arial Narrow"/>
                    <a:cs typeface="Arial Narrow"/>
                  </a:rPr>
                  <a:t> of responders in the trial sample</a:t>
                </a:r>
                <a:endParaRPr lang="en-US" sz="900" b="0">
                  <a:latin typeface="Arial Narrow"/>
                  <a:cs typeface="Arial Narrow"/>
                </a:endParaRPr>
              </a:p>
            </c:rich>
          </c:tx>
          <c:layout>
            <c:manualLayout>
              <c:xMode val="edge"/>
              <c:yMode val="edge"/>
              <c:x val="0.22714542746038799"/>
              <c:y val="0.89556051686432603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138657944"/>
        <c:crosses val="autoZero"/>
        <c:crossBetween val="midCat"/>
      </c:valAx>
      <c:valAx>
        <c:axId val="2138657944"/>
        <c:scaling>
          <c:orientation val="minMax"/>
          <c:max val="1"/>
          <c:min val="0.3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 b="0">
                    <a:latin typeface="Arial Narrow"/>
                    <a:cs typeface="Arial Narrow"/>
                  </a:defRPr>
                </a:pPr>
                <a:r>
                  <a:rPr lang="en-US" sz="900" b="0">
                    <a:latin typeface="Arial Narrow"/>
                    <a:cs typeface="Arial Narrow"/>
                  </a:rPr>
                  <a:t>Ethical</a:t>
                </a:r>
                <a:r>
                  <a:rPr lang="en-US" sz="900" b="0" baseline="0">
                    <a:latin typeface="Arial Narrow"/>
                    <a:cs typeface="Arial Narrow"/>
                  </a:rPr>
                  <a:t> losses (% of enrolled patients)</a:t>
                </a:r>
                <a:endParaRPr lang="en-US" sz="900" b="0">
                  <a:latin typeface="Arial Narrow"/>
                  <a:cs typeface="Arial Narrow"/>
                </a:endParaRPr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1386425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 sz="1000"/>
            </a:pPr>
            <a:r>
              <a:rPr lang="en-US" sz="1000"/>
              <a:t>Percentage of responders and chi-square for the drug efficacy</a:t>
            </a:r>
          </a:p>
        </c:rich>
      </c:tx>
      <c:layout>
        <c:manualLayout>
          <c:xMode val="edge"/>
          <c:yMode val="edge"/>
          <c:x val="0.124603888799614"/>
          <c:y val="1.442307692307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9245982645026499"/>
          <c:y val="0.185576544518474"/>
          <c:w val="0.70584364454443205"/>
          <c:h val="0.62195601150817703"/>
        </c:manualLayout>
      </c:layout>
      <c:scatterChart>
        <c:scatterStyle val="smoothMarker"/>
        <c:varyColors val="0"/>
        <c:ser>
          <c:idx val="0"/>
          <c:order val="0"/>
          <c:tx>
            <c:strRef>
              <c:f>'plot chi-square'!$B$1</c:f>
              <c:strCache>
                <c:ptCount val="1"/>
                <c:pt idx="0">
                  <c:v>chi-square</c:v>
                </c:pt>
              </c:strCache>
            </c:strRef>
          </c:tx>
          <c:marker>
            <c:symbol val="none"/>
          </c:marker>
          <c:xVal>
            <c:numRef>
              <c:f>'plot chi-square'!$A$2:$A$41</c:f>
              <c:numCache>
                <c:formatCode>0%</c:formatCode>
                <c:ptCount val="40"/>
                <c:pt idx="0">
                  <c:v>1</c:v>
                </c:pt>
                <c:pt idx="1">
                  <c:v>0.97499999999999998</c:v>
                </c:pt>
                <c:pt idx="2">
                  <c:v>0.95</c:v>
                </c:pt>
                <c:pt idx="3">
                  <c:v>0.92499999999999993</c:v>
                </c:pt>
                <c:pt idx="4">
                  <c:v>0.89999999999999991</c:v>
                </c:pt>
                <c:pt idx="5">
                  <c:v>0.87499999999999989</c:v>
                </c:pt>
                <c:pt idx="6">
                  <c:v>0.84999999999999987</c:v>
                </c:pt>
                <c:pt idx="7">
                  <c:v>0.82499999999999984</c:v>
                </c:pt>
                <c:pt idx="8">
                  <c:v>0.79999999999999982</c:v>
                </c:pt>
                <c:pt idx="9">
                  <c:v>0.7749999999999998</c:v>
                </c:pt>
                <c:pt idx="10">
                  <c:v>0.74999999999999978</c:v>
                </c:pt>
                <c:pt idx="11">
                  <c:v>0.72499999999999976</c:v>
                </c:pt>
                <c:pt idx="12">
                  <c:v>0.69999999999999973</c:v>
                </c:pt>
                <c:pt idx="13">
                  <c:v>0.67499999999999971</c:v>
                </c:pt>
                <c:pt idx="14">
                  <c:v>0.64999999999999969</c:v>
                </c:pt>
                <c:pt idx="15">
                  <c:v>0.62499999999999967</c:v>
                </c:pt>
                <c:pt idx="16">
                  <c:v>0.59999999999999964</c:v>
                </c:pt>
                <c:pt idx="17">
                  <c:v>0.57499999999999962</c:v>
                </c:pt>
                <c:pt idx="18">
                  <c:v>0.5499999999999996</c:v>
                </c:pt>
                <c:pt idx="19">
                  <c:v>0.52499999999999958</c:v>
                </c:pt>
                <c:pt idx="20">
                  <c:v>0.49999999999999956</c:v>
                </c:pt>
                <c:pt idx="21">
                  <c:v>0.47499999999999953</c:v>
                </c:pt>
                <c:pt idx="22">
                  <c:v>0.44999999999999951</c:v>
                </c:pt>
                <c:pt idx="23">
                  <c:v>0.42499999999999949</c:v>
                </c:pt>
                <c:pt idx="24">
                  <c:v>0.39999999999999947</c:v>
                </c:pt>
                <c:pt idx="25">
                  <c:v>0.37499999999999944</c:v>
                </c:pt>
                <c:pt idx="26">
                  <c:v>0.34999999999999942</c:v>
                </c:pt>
                <c:pt idx="27">
                  <c:v>0.3249999999999994</c:v>
                </c:pt>
                <c:pt idx="28">
                  <c:v>0.29999999999999938</c:v>
                </c:pt>
                <c:pt idx="29">
                  <c:v>0.27499999999999936</c:v>
                </c:pt>
                <c:pt idx="30">
                  <c:v>0.24999999999999936</c:v>
                </c:pt>
                <c:pt idx="31">
                  <c:v>0.22499999999999937</c:v>
                </c:pt>
                <c:pt idx="32">
                  <c:v>0.19999999999999937</c:v>
                </c:pt>
                <c:pt idx="33">
                  <c:v>0.17499999999999938</c:v>
                </c:pt>
                <c:pt idx="34">
                  <c:v>0.14999999999999938</c:v>
                </c:pt>
                <c:pt idx="35">
                  <c:v>0.12499999999999939</c:v>
                </c:pt>
                <c:pt idx="36">
                  <c:v>9.9999999999999395E-2</c:v>
                </c:pt>
                <c:pt idx="37">
                  <c:v>7.49999999999994E-2</c:v>
                </c:pt>
                <c:pt idx="38">
                  <c:v>4.9999999999999399E-2</c:v>
                </c:pt>
                <c:pt idx="39">
                  <c:v>2.4999999999999398E-2</c:v>
                </c:pt>
              </c:numCache>
            </c:numRef>
          </c:xVal>
          <c:yVal>
            <c:numRef>
              <c:f>'plot chi-square'!$B$2:$B$41</c:f>
              <c:numCache>
                <c:formatCode>0</c:formatCode>
                <c:ptCount val="40"/>
                <c:pt idx="0">
                  <c:v>35.616130662708535</c:v>
                </c:pt>
                <c:pt idx="1">
                  <c:v>34.725727396140812</c:v>
                </c:pt>
                <c:pt idx="2">
                  <c:v>33.83532412957311</c:v>
                </c:pt>
                <c:pt idx="3">
                  <c:v>32.944920863005393</c:v>
                </c:pt>
                <c:pt idx="4">
                  <c:v>32.054517596437677</c:v>
                </c:pt>
                <c:pt idx="5">
                  <c:v>31.164114329869957</c:v>
                </c:pt>
                <c:pt idx="6">
                  <c:v>30.273711063302251</c:v>
                </c:pt>
                <c:pt idx="7">
                  <c:v>29.383307796734531</c:v>
                </c:pt>
                <c:pt idx="8">
                  <c:v>28.492904530166818</c:v>
                </c:pt>
                <c:pt idx="9">
                  <c:v>27.602501263599098</c:v>
                </c:pt>
                <c:pt idx="10">
                  <c:v>26.712097997031393</c:v>
                </c:pt>
                <c:pt idx="11">
                  <c:v>25.821694730463676</c:v>
                </c:pt>
                <c:pt idx="12">
                  <c:v>24.931291463895963</c:v>
                </c:pt>
                <c:pt idx="13">
                  <c:v>24.040888197328247</c:v>
                </c:pt>
                <c:pt idx="14">
                  <c:v>23.15048493076053</c:v>
                </c:pt>
                <c:pt idx="15">
                  <c:v>22.260081664192821</c:v>
                </c:pt>
                <c:pt idx="16">
                  <c:v>21.369678397625108</c:v>
                </c:pt>
                <c:pt idx="17">
                  <c:v>20.479275131057392</c:v>
                </c:pt>
                <c:pt idx="18">
                  <c:v>19.588871864489679</c:v>
                </c:pt>
                <c:pt idx="19">
                  <c:v>18.698468597921966</c:v>
                </c:pt>
                <c:pt idx="20">
                  <c:v>17.808065331354246</c:v>
                </c:pt>
                <c:pt idx="21">
                  <c:v>16.917662064786537</c:v>
                </c:pt>
                <c:pt idx="22">
                  <c:v>16.027258798218824</c:v>
                </c:pt>
                <c:pt idx="23">
                  <c:v>15.136855531651108</c:v>
                </c:pt>
                <c:pt idx="24">
                  <c:v>14.246452265083391</c:v>
                </c:pt>
                <c:pt idx="25">
                  <c:v>13.35604899851568</c:v>
                </c:pt>
                <c:pt idx="26">
                  <c:v>12.465645731947969</c:v>
                </c:pt>
                <c:pt idx="27">
                  <c:v>11.575242465380251</c:v>
                </c:pt>
                <c:pt idx="28">
                  <c:v>10.684839198812538</c:v>
                </c:pt>
                <c:pt idx="29">
                  <c:v>9.7944359322448271</c:v>
                </c:pt>
                <c:pt idx="30">
                  <c:v>8.9040326656771089</c:v>
                </c:pt>
                <c:pt idx="31">
                  <c:v>8.0136293991093961</c:v>
                </c:pt>
                <c:pt idx="32">
                  <c:v>7.1232261325416877</c:v>
                </c:pt>
                <c:pt idx="33">
                  <c:v>6.2328228659739704</c:v>
                </c:pt>
                <c:pt idx="34">
                  <c:v>5.3424195994062567</c:v>
                </c:pt>
                <c:pt idx="35">
                  <c:v>4.4520163328385465</c:v>
                </c:pt>
                <c:pt idx="36">
                  <c:v>3.5616130662708319</c:v>
                </c:pt>
                <c:pt idx="37">
                  <c:v>2.6712097997031203</c:v>
                </c:pt>
                <c:pt idx="38">
                  <c:v>1.7808065331354053</c:v>
                </c:pt>
                <c:pt idx="39">
                  <c:v>0.89040326656769309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A29D-CF42-B726-459AD068B0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843528"/>
        <c:axId val="2129804248"/>
      </c:scatterChart>
      <c:valAx>
        <c:axId val="2129843528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sz="900"/>
                  <a:t>Percentage of respoders in the trial sample</a:t>
                </a:r>
              </a:p>
            </c:rich>
          </c:tx>
          <c:layout>
            <c:manualLayout>
              <c:xMode val="edge"/>
              <c:yMode val="edge"/>
              <c:x val="0.14143941828699999"/>
              <c:y val="0.87980769230769196"/>
            </c:manualLayout>
          </c:layout>
          <c:overlay val="0"/>
        </c:title>
        <c:numFmt formatCode="0%" sourceLinked="1"/>
        <c:majorTickMark val="out"/>
        <c:minorTickMark val="none"/>
        <c:tickLblPos val="nextTo"/>
        <c:crossAx val="2129804248"/>
        <c:crosses val="autoZero"/>
        <c:crossBetween val="midCat"/>
      </c:valAx>
      <c:valAx>
        <c:axId val="212980424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Chi-square</a:t>
                </a:r>
              </a:p>
            </c:rich>
          </c:tx>
          <c:layout>
            <c:manualLayout>
              <c:xMode val="edge"/>
              <c:yMode val="edge"/>
              <c:x val="5.1020408163265302E-3"/>
              <c:y val="0.37340210478497898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crossAx val="2129843528"/>
        <c:crosses val="autoZero"/>
        <c:crossBetween val="midCat"/>
      </c:valAx>
    </c:plotArea>
    <c:plotVisOnly val="1"/>
    <c:dispBlanksAs val="gap"/>
    <c:showDLblsOverMax val="0"/>
  </c:chart>
  <c:txPr>
    <a:bodyPr/>
    <a:lstStyle/>
    <a:p>
      <a:pPr>
        <a:defRPr>
          <a:latin typeface="Arial"/>
          <a:cs typeface="Arial"/>
        </a:defRPr>
      </a:pPr>
      <a:endParaRPr lang="fr-FR"/>
    </a:p>
  </c:txPr>
  <c:printSettings>
    <c:headerFooter/>
    <c:pageMargins b="1" l="0.75" r="0.75" t="1" header="0.5" footer="0.5"/>
    <c:pageSetup paperSize="0" orientation="portrait" horizontalDpi="-4" verticalDpi="-4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p-value and % of responders</a:t>
            </a:r>
          </a:p>
        </c:rich>
      </c:tx>
      <c:overlay val="0"/>
    </c:title>
    <c:autoTitleDeleted val="0"/>
    <c:plotArea>
      <c:layout/>
      <c:scatterChart>
        <c:scatterStyle val="smoothMarker"/>
        <c:varyColors val="0"/>
        <c:ser>
          <c:idx val="0"/>
          <c:order val="0"/>
          <c:tx>
            <c:strRef>
              <c:f>'plot p-value'!$B$1</c:f>
              <c:strCache>
                <c:ptCount val="1"/>
                <c:pt idx="0">
                  <c:v>p-value</c:v>
                </c:pt>
              </c:strCache>
            </c:strRef>
          </c:tx>
          <c:marker>
            <c:symbol val="none"/>
          </c:marker>
          <c:xVal>
            <c:numRef>
              <c:f>'plot p-value'!$A$2:$A$41</c:f>
              <c:numCache>
                <c:formatCode>0.00%</c:formatCode>
                <c:ptCount val="40"/>
                <c:pt idx="0">
                  <c:v>1</c:v>
                </c:pt>
                <c:pt idx="1">
                  <c:v>0.97499999999999998</c:v>
                </c:pt>
                <c:pt idx="2">
                  <c:v>0.95</c:v>
                </c:pt>
                <c:pt idx="3">
                  <c:v>0.92499999999999993</c:v>
                </c:pt>
                <c:pt idx="4">
                  <c:v>0.89999999999999991</c:v>
                </c:pt>
                <c:pt idx="5">
                  <c:v>0.87499999999999989</c:v>
                </c:pt>
                <c:pt idx="6">
                  <c:v>0.84999999999999987</c:v>
                </c:pt>
                <c:pt idx="7">
                  <c:v>0.82499999999999984</c:v>
                </c:pt>
                <c:pt idx="8">
                  <c:v>0.79999999999999982</c:v>
                </c:pt>
                <c:pt idx="9">
                  <c:v>0.7749999999999998</c:v>
                </c:pt>
                <c:pt idx="10">
                  <c:v>0.74999999999999978</c:v>
                </c:pt>
                <c:pt idx="11">
                  <c:v>0.72499999999999976</c:v>
                </c:pt>
                <c:pt idx="12">
                  <c:v>0.69999999999999973</c:v>
                </c:pt>
                <c:pt idx="13">
                  <c:v>0.67499999999999971</c:v>
                </c:pt>
                <c:pt idx="14">
                  <c:v>0.64999999999999969</c:v>
                </c:pt>
                <c:pt idx="15">
                  <c:v>0.62499999999999967</c:v>
                </c:pt>
                <c:pt idx="16">
                  <c:v>0.59999999999999964</c:v>
                </c:pt>
                <c:pt idx="17">
                  <c:v>0.57499999999999962</c:v>
                </c:pt>
                <c:pt idx="18">
                  <c:v>0.5499999999999996</c:v>
                </c:pt>
                <c:pt idx="19">
                  <c:v>0.52499999999999958</c:v>
                </c:pt>
                <c:pt idx="20">
                  <c:v>0.49999999999999956</c:v>
                </c:pt>
                <c:pt idx="21">
                  <c:v>0.47499999999999953</c:v>
                </c:pt>
                <c:pt idx="22">
                  <c:v>0.44999999999999951</c:v>
                </c:pt>
                <c:pt idx="23">
                  <c:v>0.42499999999999949</c:v>
                </c:pt>
                <c:pt idx="24">
                  <c:v>0.39999999999999947</c:v>
                </c:pt>
                <c:pt idx="25">
                  <c:v>0.37499999999999944</c:v>
                </c:pt>
                <c:pt idx="26">
                  <c:v>0.34999999999999942</c:v>
                </c:pt>
                <c:pt idx="27">
                  <c:v>0.3249999999999994</c:v>
                </c:pt>
                <c:pt idx="28">
                  <c:v>0.29999999999999938</c:v>
                </c:pt>
                <c:pt idx="29">
                  <c:v>0.27499999999999936</c:v>
                </c:pt>
                <c:pt idx="30">
                  <c:v>0.24999999999999936</c:v>
                </c:pt>
                <c:pt idx="31">
                  <c:v>0.22499999999999937</c:v>
                </c:pt>
                <c:pt idx="32">
                  <c:v>0.19999999999999937</c:v>
                </c:pt>
                <c:pt idx="33">
                  <c:v>0.17499999999999938</c:v>
                </c:pt>
                <c:pt idx="34">
                  <c:v>0.14999999999999938</c:v>
                </c:pt>
                <c:pt idx="35">
                  <c:v>0.12499999999999939</c:v>
                </c:pt>
                <c:pt idx="36">
                  <c:v>9.9999999999999395E-2</c:v>
                </c:pt>
                <c:pt idx="37">
                  <c:v>7.49999999999994E-2</c:v>
                </c:pt>
                <c:pt idx="38">
                  <c:v>4.9999999999999399E-2</c:v>
                </c:pt>
                <c:pt idx="39">
                  <c:v>2.4999999999999398E-2</c:v>
                </c:pt>
              </c:numCache>
            </c:numRef>
          </c:xVal>
          <c:yVal>
            <c:numRef>
              <c:f>'plot p-value'!$B$2:$B$41</c:f>
              <c:numCache>
                <c:formatCode>General</c:formatCode>
                <c:ptCount val="40"/>
                <c:pt idx="0">
                  <c:v>2.4028953801386042E-9</c:v>
                </c:pt>
                <c:pt idx="1">
                  <c:v>3.7958193587802203E-9</c:v>
                </c:pt>
                <c:pt idx="2">
                  <c:v>5.9979848329532207E-9</c:v>
                </c:pt>
                <c:pt idx="3">
                  <c:v>9.4807111757635514E-9</c:v>
                </c:pt>
                <c:pt idx="4">
                  <c:v>1.4990609302000213E-8</c:v>
                </c:pt>
                <c:pt idx="5">
                  <c:v>2.3710905127709906E-8</c:v>
                </c:pt>
                <c:pt idx="6">
                  <c:v>3.7517661167898454E-8</c:v>
                </c:pt>
                <c:pt idx="7">
                  <c:v>5.9386969532098826E-8</c:v>
                </c:pt>
                <c:pt idx="8">
                  <c:v>9.4042497297820906E-8</c:v>
                </c:pt>
                <c:pt idx="9">
                  <c:v>1.4898598296455318E-7</c:v>
                </c:pt>
                <c:pt idx="10">
                  <c:v>2.3613840280549688E-7</c:v>
                </c:pt>
                <c:pt idx="11">
                  <c:v>3.7445583181650561E-7</c:v>
                </c:pt>
                <c:pt idx="12">
                  <c:v>5.9410257409931776E-7</c:v>
                </c:pt>
                <c:pt idx="13">
                  <c:v>9.4311504766686552E-7</c:v>
                </c:pt>
                <c:pt idx="14">
                  <c:v>1.4980542103164473E-6</c:v>
                </c:pt>
                <c:pt idx="15">
                  <c:v>2.3810533237409659E-6</c:v>
                </c:pt>
                <c:pt idx="16">
                  <c:v>3.7871349259340729E-6</c:v>
                </c:pt>
                <c:pt idx="17">
                  <c:v>6.0280436562215581E-6</c:v>
                </c:pt>
                <c:pt idx="18">
                  <c:v>9.6026883511483377E-6</c:v>
                </c:pt>
                <c:pt idx="19">
                  <c:v>1.531054009076669E-5</c:v>
                </c:pt>
                <c:pt idx="20">
                  <c:v>2.4434529253604071E-5</c:v>
                </c:pt>
                <c:pt idx="21">
                  <c:v>3.9036668886282121E-5</c:v>
                </c:pt>
                <c:pt idx="22">
                  <c:v>6.243704244396658E-5</c:v>
                </c:pt>
                <c:pt idx="23">
                  <c:v>9.9992039199823903E-5</c:v>
                </c:pt>
                <c:pt idx="24">
                  <c:v>1.6036281605365279E-4</c:v>
                </c:pt>
                <c:pt idx="25">
                  <c:v>2.5759041745427886E-4</c:v>
                </c:pt>
                <c:pt idx="26">
                  <c:v>4.1450520231683133E-4</c:v>
                </c:pt>
                <c:pt idx="27">
                  <c:v>6.6835720417319263E-4</c:v>
                </c:pt>
                <c:pt idx="28">
                  <c:v>1.0801712341547887E-3</c:v>
                </c:pt>
                <c:pt idx="29">
                  <c:v>1.7504069548280319E-3</c:v>
                </c:pt>
                <c:pt idx="30">
                  <c:v>2.8454157014544761E-3</c:v>
                </c:pt>
                <c:pt idx="31">
                  <c:v>4.6426597730694829E-3</c:v>
                </c:pt>
                <c:pt idx="32">
                  <c:v>7.609166091419697E-3</c:v>
                </c:pt>
                <c:pt idx="33">
                  <c:v>1.2540367040149597E-2</c:v>
                </c:pt>
                <c:pt idx="34">
                  <c:v>2.0812565955518475E-2</c:v>
                </c:pt>
                <c:pt idx="35">
                  <c:v>3.4860063657734454E-2</c:v>
                </c:pt>
                <c:pt idx="36">
                  <c:v>5.9130251998052503E-2</c:v>
                </c:pt>
                <c:pt idx="37">
                  <c:v>0.10217832656612061</c:v>
                </c:pt>
                <c:pt idx="38">
                  <c:v>0.1820503199984306</c:v>
                </c:pt>
                <c:pt idx="39">
                  <c:v>0.34536804989909387</c:v>
                </c:pt>
              </c:numCache>
            </c:numRef>
          </c:yVal>
          <c:smooth val="1"/>
          <c:extLst>
            <c:ext xmlns:c16="http://schemas.microsoft.com/office/drawing/2014/chart" uri="{C3380CC4-5D6E-409C-BE32-E72D297353CC}">
              <c16:uniqueId val="{00000000-FBA3-4F4F-A983-31F38D6009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2270088"/>
        <c:axId val="2132275528"/>
      </c:scatterChart>
      <c:valAx>
        <c:axId val="2132270088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 sz="1600"/>
                </a:pPr>
                <a:r>
                  <a:rPr lang="en-US" sz="1600"/>
                  <a:t>% responders</a:t>
                </a:r>
              </a:p>
            </c:rich>
          </c:tx>
          <c:overlay val="0"/>
        </c:title>
        <c:numFmt formatCode="0.00%" sourceLinked="1"/>
        <c:majorTickMark val="out"/>
        <c:minorTickMark val="none"/>
        <c:tickLblPos val="nextTo"/>
        <c:crossAx val="2132275528"/>
        <c:crosses val="autoZero"/>
        <c:crossBetween val="midCat"/>
      </c:valAx>
      <c:valAx>
        <c:axId val="2132275528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1600"/>
                </a:pPr>
                <a:r>
                  <a:rPr lang="en-US" sz="1600"/>
                  <a:t>p-value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213227008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'plot EI vs p-value, RR, SS'!$B$1</c:f>
              <c:strCache>
                <c:ptCount val="1"/>
                <c:pt idx="0">
                  <c:v>p-value</c:v>
                </c:pt>
              </c:strCache>
            </c:strRef>
          </c:tx>
          <c:marker>
            <c:symbol val="none"/>
          </c:marker>
          <c:xVal>
            <c:numRef>
              <c:f>'plot EI vs p-value, RR, SS'!$A$2:$A$41</c:f>
              <c:numCache>
                <c:formatCode>0%</c:formatCode>
                <c:ptCount val="40"/>
                <c:pt idx="0">
                  <c:v>0.33233618233618228</c:v>
                </c:pt>
                <c:pt idx="1">
                  <c:v>0.34902777777777788</c:v>
                </c:pt>
                <c:pt idx="2">
                  <c:v>0.3657193732193732</c:v>
                </c:pt>
                <c:pt idx="3">
                  <c:v>0.38241096866096869</c:v>
                </c:pt>
                <c:pt idx="4">
                  <c:v>0.39910256410256423</c:v>
                </c:pt>
                <c:pt idx="5">
                  <c:v>0.41579415954415971</c:v>
                </c:pt>
                <c:pt idx="6">
                  <c:v>0.4324857549857552</c:v>
                </c:pt>
                <c:pt idx="7">
                  <c:v>0.44917735042735074</c:v>
                </c:pt>
                <c:pt idx="8">
                  <c:v>0.46586894586894601</c:v>
                </c:pt>
                <c:pt idx="9">
                  <c:v>0.48256054131054144</c:v>
                </c:pt>
                <c:pt idx="10">
                  <c:v>0.49925213675213692</c:v>
                </c:pt>
                <c:pt idx="11">
                  <c:v>0.51594373219373235</c:v>
                </c:pt>
                <c:pt idx="12">
                  <c:v>0.53263532763532784</c:v>
                </c:pt>
                <c:pt idx="13">
                  <c:v>0.5493269230769231</c:v>
                </c:pt>
                <c:pt idx="14">
                  <c:v>0.56601851851851881</c:v>
                </c:pt>
                <c:pt idx="15">
                  <c:v>0.58271011396011418</c:v>
                </c:pt>
                <c:pt idx="16">
                  <c:v>0.59940170940170978</c:v>
                </c:pt>
                <c:pt idx="17">
                  <c:v>0.61609330484330505</c:v>
                </c:pt>
                <c:pt idx="18">
                  <c:v>0.63278490028490053</c:v>
                </c:pt>
                <c:pt idx="19">
                  <c:v>0.64947649572649579</c:v>
                </c:pt>
                <c:pt idx="20">
                  <c:v>0.66616809116809161</c:v>
                </c:pt>
                <c:pt idx="21">
                  <c:v>0.68285968660968688</c:v>
                </c:pt>
                <c:pt idx="22">
                  <c:v>0.69955128205128236</c:v>
                </c:pt>
                <c:pt idx="23">
                  <c:v>0.71624287749287785</c:v>
                </c:pt>
                <c:pt idx="24">
                  <c:v>0.73293447293447334</c:v>
                </c:pt>
                <c:pt idx="25">
                  <c:v>0.7496260683760686</c:v>
                </c:pt>
                <c:pt idx="26">
                  <c:v>0.7663176638176642</c:v>
                </c:pt>
                <c:pt idx="27">
                  <c:v>0.78300925925925968</c:v>
                </c:pt>
                <c:pt idx="28">
                  <c:v>0.79970085470085517</c:v>
                </c:pt>
                <c:pt idx="29">
                  <c:v>0.81639245014245043</c:v>
                </c:pt>
                <c:pt idx="30">
                  <c:v>0.83308404558404603</c:v>
                </c:pt>
                <c:pt idx="31">
                  <c:v>0.84977564102564151</c:v>
                </c:pt>
                <c:pt idx="32">
                  <c:v>0.86646723646723689</c:v>
                </c:pt>
                <c:pt idx="33">
                  <c:v>0.88315883190883238</c:v>
                </c:pt>
                <c:pt idx="34">
                  <c:v>0.89985042735042764</c:v>
                </c:pt>
                <c:pt idx="35">
                  <c:v>0.91654202279202324</c:v>
                </c:pt>
                <c:pt idx="36">
                  <c:v>0.93323361823361861</c:v>
                </c:pt>
                <c:pt idx="37">
                  <c:v>0.94992521367521399</c:v>
                </c:pt>
                <c:pt idx="38">
                  <c:v>0.96661680911680969</c:v>
                </c:pt>
                <c:pt idx="39">
                  <c:v>0.98330840455840496</c:v>
                </c:pt>
              </c:numCache>
            </c:numRef>
          </c:xVal>
          <c:yVal>
            <c:numRef>
              <c:f>'plot EI vs p-value, RR, SS'!$B$2:$B$41</c:f>
              <c:numCache>
                <c:formatCode>0.00E+00</c:formatCode>
                <c:ptCount val="40"/>
                <c:pt idx="0">
                  <c:v>2.4028953801386042E-9</c:v>
                </c:pt>
                <c:pt idx="1">
                  <c:v>3.7958193587802203E-9</c:v>
                </c:pt>
                <c:pt idx="2">
                  <c:v>5.9979848329532207E-9</c:v>
                </c:pt>
                <c:pt idx="3">
                  <c:v>9.4807111757635514E-9</c:v>
                </c:pt>
                <c:pt idx="4">
                  <c:v>1.4990609302000213E-8</c:v>
                </c:pt>
                <c:pt idx="5">
                  <c:v>2.3710905127709906E-8</c:v>
                </c:pt>
                <c:pt idx="6">
                  <c:v>3.7517661167898454E-8</c:v>
                </c:pt>
                <c:pt idx="7">
                  <c:v>5.9386969532098826E-8</c:v>
                </c:pt>
                <c:pt idx="8">
                  <c:v>9.4042497297820906E-8</c:v>
                </c:pt>
                <c:pt idx="9">
                  <c:v>1.4898598296455318E-7</c:v>
                </c:pt>
                <c:pt idx="10">
                  <c:v>2.3613840280549688E-7</c:v>
                </c:pt>
                <c:pt idx="11">
                  <c:v>3.7445583181650561E-7</c:v>
                </c:pt>
                <c:pt idx="12">
                  <c:v>5.9410257409931776E-7</c:v>
                </c:pt>
                <c:pt idx="13">
                  <c:v>9.4311504766686552E-7</c:v>
                </c:pt>
                <c:pt idx="14">
                  <c:v>1.4980542103164473E-6</c:v>
                </c:pt>
                <c:pt idx="15">
                  <c:v>2.3810533237409659E-6</c:v>
                </c:pt>
                <c:pt idx="16">
                  <c:v>3.7871349259340729E-6</c:v>
                </c:pt>
                <c:pt idx="17">
                  <c:v>6.0280436562215581E-6</c:v>
                </c:pt>
                <c:pt idx="18">
                  <c:v>9.6026883511483377E-6</c:v>
                </c:pt>
                <c:pt idx="19">
                  <c:v>1.531054009076669E-5</c:v>
                </c:pt>
                <c:pt idx="20">
                  <c:v>2.4434529253604071E-5</c:v>
                </c:pt>
                <c:pt idx="21">
                  <c:v>3.9036668886282121E-5</c:v>
                </c:pt>
                <c:pt idx="22">
                  <c:v>6.243704244396658E-5</c:v>
                </c:pt>
                <c:pt idx="23">
                  <c:v>9.9992039199823903E-5</c:v>
                </c:pt>
                <c:pt idx="24">
                  <c:v>1.6036281605365279E-4</c:v>
                </c:pt>
                <c:pt idx="25">
                  <c:v>2.5759041745427886E-4</c:v>
                </c:pt>
                <c:pt idx="26">
                  <c:v>4.1450520231683133E-4</c:v>
                </c:pt>
                <c:pt idx="27">
                  <c:v>6.6835720417319263E-4</c:v>
                </c:pt>
                <c:pt idx="28">
                  <c:v>1.0801712341547887E-3</c:v>
                </c:pt>
                <c:pt idx="29">
                  <c:v>1.7504069548280319E-3</c:v>
                </c:pt>
                <c:pt idx="30">
                  <c:v>2.8454157014544761E-3</c:v>
                </c:pt>
                <c:pt idx="31">
                  <c:v>4.6426597730694829E-3</c:v>
                </c:pt>
                <c:pt idx="32">
                  <c:v>7.609166091419697E-3</c:v>
                </c:pt>
                <c:pt idx="33">
                  <c:v>1.2540367040149597E-2</c:v>
                </c:pt>
                <c:pt idx="34">
                  <c:v>2.0812565955518475E-2</c:v>
                </c:pt>
                <c:pt idx="35">
                  <c:v>3.4860063657734454E-2</c:v>
                </c:pt>
                <c:pt idx="36">
                  <c:v>5.9130251998052503E-2</c:v>
                </c:pt>
                <c:pt idx="37">
                  <c:v>0.10217832656612061</c:v>
                </c:pt>
                <c:pt idx="38">
                  <c:v>0.1820503199984306</c:v>
                </c:pt>
                <c:pt idx="39">
                  <c:v>0.34536804989909387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5B2-7B46-BC44-D963F4AC7D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664920"/>
        <c:axId val="2129670664"/>
      </c:scatterChart>
      <c:valAx>
        <c:axId val="2129664920"/>
        <c:scaling>
          <c:orientation val="minMax"/>
          <c:max val="1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Ethical</a:t>
                </a:r>
                <a:r>
                  <a:rPr lang="en-US" baseline="0"/>
                  <a:t> loss in % of enrolled patients</a:t>
                </a:r>
                <a:endParaRPr lang="en-US"/>
              </a:p>
            </c:rich>
          </c:tx>
          <c:overlay val="0"/>
        </c:title>
        <c:numFmt formatCode="0%" sourceLinked="1"/>
        <c:majorTickMark val="out"/>
        <c:minorTickMark val="none"/>
        <c:tickLblPos val="nextTo"/>
        <c:crossAx val="2129670664"/>
        <c:crosses val="autoZero"/>
        <c:crossBetween val="midCat"/>
      </c:valAx>
      <c:valAx>
        <c:axId val="212967066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p-value</a:t>
                </a:r>
              </a:p>
            </c:rich>
          </c:tx>
          <c:overlay val="0"/>
        </c:title>
        <c:numFmt formatCode="0.00E+00" sourceLinked="1"/>
        <c:majorTickMark val="out"/>
        <c:minorTickMark val="none"/>
        <c:tickLblPos val="nextTo"/>
        <c:crossAx val="2129664920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'plot EI vs p-value, RR, SS'!$E$1</c:f>
              <c:strCache>
                <c:ptCount val="1"/>
                <c:pt idx="0">
                  <c:v>RR</c:v>
                </c:pt>
              </c:strCache>
            </c:strRef>
          </c:tx>
          <c:marker>
            <c:symbol val="none"/>
          </c:marker>
          <c:xVal>
            <c:numRef>
              <c:f>'plot EI vs p-value, RR, SS'!$D$2:$D$41</c:f>
              <c:numCache>
                <c:formatCode>0%</c:formatCode>
                <c:ptCount val="40"/>
                <c:pt idx="0">
                  <c:v>0.33233618233618228</c:v>
                </c:pt>
                <c:pt idx="1">
                  <c:v>0.34902777777777788</c:v>
                </c:pt>
                <c:pt idx="2">
                  <c:v>0.3657193732193732</c:v>
                </c:pt>
                <c:pt idx="3">
                  <c:v>0.38241096866096869</c:v>
                </c:pt>
                <c:pt idx="4">
                  <c:v>0.39910256410256423</c:v>
                </c:pt>
                <c:pt idx="5">
                  <c:v>0.41579415954415971</c:v>
                </c:pt>
                <c:pt idx="6">
                  <c:v>0.4324857549857552</c:v>
                </c:pt>
                <c:pt idx="7">
                  <c:v>0.44917735042735074</c:v>
                </c:pt>
                <c:pt idx="8">
                  <c:v>0.46586894586894601</c:v>
                </c:pt>
                <c:pt idx="9">
                  <c:v>0.48256054131054144</c:v>
                </c:pt>
                <c:pt idx="10">
                  <c:v>0.49925213675213692</c:v>
                </c:pt>
                <c:pt idx="11">
                  <c:v>0.51594373219373235</c:v>
                </c:pt>
                <c:pt idx="12">
                  <c:v>0.53263532763532784</c:v>
                </c:pt>
                <c:pt idx="13">
                  <c:v>0.5493269230769231</c:v>
                </c:pt>
                <c:pt idx="14">
                  <c:v>0.56601851851851881</c:v>
                </c:pt>
                <c:pt idx="15">
                  <c:v>0.58271011396011418</c:v>
                </c:pt>
                <c:pt idx="16">
                  <c:v>0.59940170940170978</c:v>
                </c:pt>
                <c:pt idx="17">
                  <c:v>0.61609330484330505</c:v>
                </c:pt>
                <c:pt idx="18">
                  <c:v>0.63278490028490053</c:v>
                </c:pt>
                <c:pt idx="19">
                  <c:v>0.64947649572649579</c:v>
                </c:pt>
                <c:pt idx="20">
                  <c:v>0.66616809116809161</c:v>
                </c:pt>
                <c:pt idx="21">
                  <c:v>0.68285968660968688</c:v>
                </c:pt>
                <c:pt idx="22">
                  <c:v>0.69955128205128236</c:v>
                </c:pt>
                <c:pt idx="23">
                  <c:v>0.71624287749287785</c:v>
                </c:pt>
                <c:pt idx="24">
                  <c:v>0.73293447293447334</c:v>
                </c:pt>
                <c:pt idx="25">
                  <c:v>0.7496260683760686</c:v>
                </c:pt>
                <c:pt idx="26">
                  <c:v>0.7663176638176642</c:v>
                </c:pt>
                <c:pt idx="27">
                  <c:v>0.78300925925925968</c:v>
                </c:pt>
                <c:pt idx="28">
                  <c:v>0.79970085470085517</c:v>
                </c:pt>
                <c:pt idx="29">
                  <c:v>0.81639245014245043</c:v>
                </c:pt>
                <c:pt idx="30">
                  <c:v>0.83308404558404603</c:v>
                </c:pt>
                <c:pt idx="31">
                  <c:v>0.84977564102564151</c:v>
                </c:pt>
                <c:pt idx="32">
                  <c:v>0.86646723646723689</c:v>
                </c:pt>
                <c:pt idx="33">
                  <c:v>0.88315883190883238</c:v>
                </c:pt>
                <c:pt idx="34">
                  <c:v>0.89985042735042764</c:v>
                </c:pt>
                <c:pt idx="35">
                  <c:v>0.91654202279202324</c:v>
                </c:pt>
                <c:pt idx="36">
                  <c:v>0.93323361823361861</c:v>
                </c:pt>
                <c:pt idx="37">
                  <c:v>0.94992521367521399</c:v>
                </c:pt>
                <c:pt idx="38">
                  <c:v>0.96661680911680969</c:v>
                </c:pt>
                <c:pt idx="39">
                  <c:v>0.98330840455840496</c:v>
                </c:pt>
              </c:numCache>
            </c:numRef>
          </c:xVal>
          <c:yVal>
            <c:numRef>
              <c:f>'plot EI vs p-value, RR, SS'!$E$2:$E$41</c:f>
              <c:numCache>
                <c:formatCode>0.00</c:formatCode>
                <c:ptCount val="40"/>
                <c:pt idx="0">
                  <c:v>0</c:v>
                </c:pt>
                <c:pt idx="1">
                  <c:v>2.1276362400061504E-3</c:v>
                </c:pt>
                <c:pt idx="2">
                  <c:v>4.3574942162125695E-3</c:v>
                </c:pt>
                <c:pt idx="3">
                  <c:v>6.6971220786394064E-3</c:v>
                </c:pt>
                <c:pt idx="4">
                  <c:v>9.1548298806097082E-3</c:v>
                </c:pt>
                <c:pt idx="5">
                  <c:v>1.1739788199697447E-2</c:v>
                </c:pt>
                <c:pt idx="6">
                  <c:v>1.4462142484407242E-2</c:v>
                </c:pt>
                <c:pt idx="7">
                  <c:v>1.7333146131951482E-2</c:v>
                </c:pt>
                <c:pt idx="8">
                  <c:v>2.036531597732524E-2</c:v>
                </c:pt>
                <c:pt idx="9">
                  <c:v>2.3572614724108633E-2</c:v>
                </c:pt>
                <c:pt idx="10">
                  <c:v>2.6970665925205094E-2</c:v>
                </c:pt>
                <c:pt idx="11">
                  <c:v>3.0577008496797623E-2</c:v>
                </c:pt>
                <c:pt idx="12">
                  <c:v>3.4411399515165891E-2</c:v>
                </c:pt>
                <c:pt idx="13">
                  <c:v>3.8496176331415194E-2</c:v>
                </c:pt>
                <c:pt idx="14">
                  <c:v>4.2856692018809046E-2</c:v>
                </c:pt>
                <c:pt idx="15">
                  <c:v>4.7521842083775676E-2</c:v>
                </c:pt>
                <c:pt idx="16">
                  <c:v>5.2524705563828426E-2</c:v>
                </c:pt>
                <c:pt idx="17">
                  <c:v>5.7903330582720375E-2</c:v>
                </c:pt>
                <c:pt idx="18">
                  <c:v>6.3701703819913288E-2</c:v>
                </c:pt>
                <c:pt idx="19">
                  <c:v>6.9970956168492304E-2</c:v>
                </c:pt>
                <c:pt idx="20">
                  <c:v>7.677087455480823E-2</c:v>
                </c:pt>
                <c:pt idx="21">
                  <c:v>8.4171814631929243E-2</c:v>
                </c:pt>
                <c:pt idx="22">
                  <c:v>9.2257144092343757E-2</c:v>
                </c:pt>
                <c:pt idx="23">
                  <c:v>0.10112639666387163</c:v>
                </c:pt>
                <c:pt idx="24">
                  <c:v>0.11089939024390268</c:v>
                </c:pt>
                <c:pt idx="25">
                  <c:v>0.12172167147697353</c:v>
                </c:pt>
                <c:pt idx="26">
                  <c:v>0.13377181350448233</c:v>
                </c:pt>
                <c:pt idx="27">
                  <c:v>0.14727134703517339</c:v>
                </c:pt>
                <c:pt idx="28">
                  <c:v>0.16249850424793624</c:v>
                </c:pt>
                <c:pt idx="29">
                  <c:v>0.17980760011505689</c:v>
                </c:pt>
                <c:pt idx="30">
                  <c:v>0.19965694682675872</c:v>
                </c:pt>
                <c:pt idx="31">
                  <c:v>0.22265003146866158</c:v>
                </c:pt>
                <c:pt idx="32">
                  <c:v>0.24959794146027736</c:v>
                </c:pt>
                <c:pt idx="33">
                  <c:v>0.2816170325078089</c:v>
                </c:pt>
                <c:pt idx="34">
                  <c:v>0.32028746236768102</c:v>
                </c:pt>
                <c:pt idx="35">
                  <c:v>0.36792197236521396</c:v>
                </c:pt>
                <c:pt idx="36">
                  <c:v>0.42804608972787611</c:v>
                </c:pt>
                <c:pt idx="37">
                  <c:v>0.50631304225153628</c:v>
                </c:pt>
                <c:pt idx="38">
                  <c:v>0.61239408539624818</c:v>
                </c:pt>
                <c:pt idx="39">
                  <c:v>0.76431962824528166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850-6B48-A0ED-1BFBB163A5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29709176"/>
        <c:axId val="2129714312"/>
      </c:scatterChart>
      <c:valAx>
        <c:axId val="2129709176"/>
        <c:scaling>
          <c:orientation val="minMax"/>
          <c:max val="1"/>
        </c:scaling>
        <c:delete val="0"/>
        <c:axPos val="b"/>
        <c:title>
          <c:overlay val="0"/>
        </c:title>
        <c:numFmt formatCode="0%" sourceLinked="1"/>
        <c:majorTickMark val="out"/>
        <c:minorTickMark val="none"/>
        <c:tickLblPos val="nextTo"/>
        <c:crossAx val="2129714312"/>
        <c:crosses val="autoZero"/>
        <c:crossBetween val="midCat"/>
      </c:valAx>
      <c:valAx>
        <c:axId val="2129714312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Relative</a:t>
                </a:r>
                <a:r>
                  <a:rPr lang="en-US" baseline="0"/>
                  <a:t> risk</a:t>
                </a:r>
                <a:endParaRPr lang="en-US"/>
              </a:p>
            </c:rich>
          </c:tx>
          <c:overlay val="0"/>
        </c:title>
        <c:numFmt formatCode="0.00" sourceLinked="1"/>
        <c:majorTickMark val="out"/>
        <c:minorTickMark val="none"/>
        <c:tickLblPos val="nextTo"/>
        <c:crossAx val="2129709176"/>
        <c:crosses val="autoZero"/>
        <c:crossBetween val="midCat"/>
      </c:valAx>
    </c:plotArea>
    <c:plotVisOnly val="1"/>
    <c:dispBlanksAs val="gap"/>
    <c:showDLblsOverMax val="0"/>
  </c:chart>
  <c:spPr>
    <a:ln>
      <a:solidFill>
        <a:schemeClr val="accent2">
          <a:lumMod val="75000"/>
        </a:schemeClr>
      </a:solidFill>
    </a:ln>
  </c:spPr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0.xml"/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38100</xdr:colOff>
      <xdr:row>0</xdr:row>
      <xdr:rowOff>88900</xdr:rowOff>
    </xdr:from>
    <xdr:to>
      <xdr:col>17</xdr:col>
      <xdr:colOff>266700</xdr:colOff>
      <xdr:row>20</xdr:row>
      <xdr:rowOff>25400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101600</xdr:colOff>
      <xdr:row>1</xdr:row>
      <xdr:rowOff>12700</xdr:rowOff>
    </xdr:from>
    <xdr:to>
      <xdr:col>8</xdr:col>
      <xdr:colOff>342900</xdr:colOff>
      <xdr:row>14</xdr:row>
      <xdr:rowOff>177800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1</xdr:row>
      <xdr:rowOff>25400</xdr:rowOff>
    </xdr:from>
    <xdr:to>
      <xdr:col>8</xdr:col>
      <xdr:colOff>0</xdr:colOff>
      <xdr:row>26</xdr:row>
      <xdr:rowOff>63500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787400</xdr:colOff>
      <xdr:row>2</xdr:row>
      <xdr:rowOff>177800</xdr:rowOff>
    </xdr:from>
    <xdr:to>
      <xdr:col>13</xdr:col>
      <xdr:colOff>88900</xdr:colOff>
      <xdr:row>16</xdr:row>
      <xdr:rowOff>177800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12700</xdr:colOff>
      <xdr:row>1</xdr:row>
      <xdr:rowOff>0</xdr:rowOff>
    </xdr:from>
    <xdr:to>
      <xdr:col>13</xdr:col>
      <xdr:colOff>120650</xdr:colOff>
      <xdr:row>14</xdr:row>
      <xdr:rowOff>150495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12700</xdr:colOff>
      <xdr:row>1</xdr:row>
      <xdr:rowOff>25400</xdr:rowOff>
    </xdr:from>
    <xdr:to>
      <xdr:col>7</xdr:col>
      <xdr:colOff>381000</xdr:colOff>
      <xdr:row>24</xdr:row>
      <xdr:rowOff>177800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546100</xdr:colOff>
      <xdr:row>0</xdr:row>
      <xdr:rowOff>184150</xdr:rowOff>
    </xdr:from>
    <xdr:to>
      <xdr:col>11</xdr:col>
      <xdr:colOff>520700</xdr:colOff>
      <xdr:row>27</xdr:row>
      <xdr:rowOff>114300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533400</xdr:colOff>
      <xdr:row>0</xdr:row>
      <xdr:rowOff>241300</xdr:rowOff>
    </xdr:from>
    <xdr:to>
      <xdr:col>14</xdr:col>
      <xdr:colOff>571500</xdr:colOff>
      <xdr:row>16</xdr:row>
      <xdr:rowOff>114300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508000</xdr:colOff>
      <xdr:row>18</xdr:row>
      <xdr:rowOff>12700</xdr:rowOff>
    </xdr:from>
    <xdr:to>
      <xdr:col>14</xdr:col>
      <xdr:colOff>127000</xdr:colOff>
      <xdr:row>32</xdr:row>
      <xdr:rowOff>88900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457200</xdr:colOff>
      <xdr:row>33</xdr:row>
      <xdr:rowOff>63500</xdr:rowOff>
    </xdr:from>
    <xdr:to>
      <xdr:col>16</xdr:col>
      <xdr:colOff>25400</xdr:colOff>
      <xdr:row>57</xdr:row>
      <xdr:rowOff>12700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8"/>
  <sheetViews>
    <sheetView zoomScale="150" zoomScaleNormal="150" workbookViewId="0">
      <selection activeCell="D7" sqref="D7"/>
    </sheetView>
  </sheetViews>
  <sheetFormatPr baseColWidth="10" defaultRowHeight="16" x14ac:dyDescent="0.2"/>
  <cols>
    <col min="1" max="1" width="8.1640625" style="4" customWidth="1"/>
    <col min="3" max="3" width="10.83203125" style="10"/>
    <col min="6" max="7" width="7.1640625" style="6" customWidth="1"/>
    <col min="8" max="8" width="7.83203125" customWidth="1"/>
    <col min="9" max="9" width="7.5" customWidth="1"/>
    <col min="10" max="10" width="11.33203125" customWidth="1"/>
  </cols>
  <sheetData>
    <row r="1" spans="1:15" s="4" customFormat="1" x14ac:dyDescent="0.2">
      <c r="A1" s="4" t="s">
        <v>4</v>
      </c>
      <c r="B1" s="36" t="s">
        <v>36</v>
      </c>
      <c r="C1" s="7"/>
      <c r="F1" s="4" t="s">
        <v>11</v>
      </c>
      <c r="G1" s="4" t="s">
        <v>12</v>
      </c>
      <c r="H1" s="5" t="s">
        <v>5</v>
      </c>
      <c r="I1" s="5" t="s">
        <v>6</v>
      </c>
      <c r="J1" s="4" t="s">
        <v>13</v>
      </c>
      <c r="K1" s="4" t="s">
        <v>14</v>
      </c>
      <c r="L1" s="4" t="s">
        <v>20</v>
      </c>
    </row>
    <row r="2" spans="1:15" s="4" customFormat="1" ht="17" thickBot="1" x14ac:dyDescent="0.25">
      <c r="B2" s="4" t="s">
        <v>0</v>
      </c>
      <c r="C2" s="7" t="s">
        <v>1</v>
      </c>
      <c r="F2" s="15">
        <f>B3/B5</f>
        <v>8.3154736390912989E-2</v>
      </c>
      <c r="G2" s="15">
        <f>C3/C5</f>
        <v>5.7392788564113506E-2</v>
      </c>
      <c r="H2" s="6">
        <f>(C3/C5)/(B3/B4)</f>
        <v>0.63279986978679792</v>
      </c>
      <c r="I2" s="16">
        <f>(B3/B5)-(C3/C5)</f>
        <v>2.5761947826799483E-2</v>
      </c>
      <c r="J2" s="18">
        <f>B3+C3+B4+C4-C13</f>
        <v>6899.2537505357905</v>
      </c>
      <c r="K2" s="18">
        <f>B3+C3</f>
        <v>463</v>
      </c>
      <c r="L2" s="27">
        <f>J2/D5</f>
        <v>0.98279967956350289</v>
      </c>
    </row>
    <row r="3" spans="1:15" x14ac:dyDescent="0.2">
      <c r="A3" s="4" t="s">
        <v>2</v>
      </c>
      <c r="B3" s="1">
        <v>194</v>
      </c>
      <c r="C3" s="8">
        <v>269</v>
      </c>
      <c r="D3">
        <f>SUM(B3:C3)</f>
        <v>463</v>
      </c>
      <c r="F3"/>
      <c r="G3"/>
      <c r="I3" s="16"/>
      <c r="J3" s="10"/>
      <c r="K3" s="4" t="s">
        <v>2</v>
      </c>
    </row>
    <row r="4" spans="1:15" ht="17" thickBot="1" x14ac:dyDescent="0.25">
      <c r="A4" s="4" t="s">
        <v>3</v>
      </c>
      <c r="B4" s="2">
        <v>2139</v>
      </c>
      <c r="C4" s="9">
        <v>4418</v>
      </c>
      <c r="D4">
        <f>SUM(B4:C4)</f>
        <v>6557</v>
      </c>
    </row>
    <row r="5" spans="1:15" x14ac:dyDescent="0.2">
      <c r="B5">
        <f>SUM(B3:B4)</f>
        <v>2333</v>
      </c>
      <c r="C5" s="10">
        <f>SUM(C3:C4)</f>
        <v>4687</v>
      </c>
      <c r="D5">
        <f>SUM(B5:C5)</f>
        <v>7020</v>
      </c>
    </row>
    <row r="6" spans="1:15" x14ac:dyDescent="0.2">
      <c r="A6" s="4" t="s">
        <v>17</v>
      </c>
    </row>
    <row r="7" spans="1:15" x14ac:dyDescent="0.2">
      <c r="B7" s="10">
        <f>B5*D3/D5</f>
        <v>153.87165242165241</v>
      </c>
      <c r="C7" s="10">
        <f>C5*D3/D5</f>
        <v>309.12834757834759</v>
      </c>
      <c r="E7" s="26">
        <f>(B3-B7)^2/$D$5</f>
        <v>0.22938522498129268</v>
      </c>
      <c r="F7">
        <f>(C3-C7)^2/$D$5</f>
        <v>0.22938522498129268</v>
      </c>
      <c r="G7"/>
      <c r="H7" s="22" t="s">
        <v>18</v>
      </c>
      <c r="I7" s="6">
        <f>SUM(E7:F8)</f>
        <v>0.91754089992516941</v>
      </c>
    </row>
    <row r="8" spans="1:15" x14ac:dyDescent="0.2">
      <c r="B8" s="10">
        <f>B5*D4/D5</f>
        <v>2179.1283475783475</v>
      </c>
      <c r="C8" s="10">
        <f>C5*D4/D5</f>
        <v>4377.8716524216525</v>
      </c>
      <c r="E8" s="26">
        <f>(B4-B8)^2/$D$5</f>
        <v>0.22938522498129202</v>
      </c>
      <c r="F8">
        <f>(C4-C8)^2/$D$5</f>
        <v>0.22938522498129202</v>
      </c>
    </row>
    <row r="10" spans="1:15" x14ac:dyDescent="0.2">
      <c r="O10" t="s">
        <v>37</v>
      </c>
    </row>
    <row r="11" spans="1:15" x14ac:dyDescent="0.2">
      <c r="A11" s="3" t="s">
        <v>7</v>
      </c>
      <c r="H11" s="12"/>
      <c r="I11" s="12"/>
    </row>
    <row r="12" spans="1:15" s="12" customFormat="1" ht="51" x14ac:dyDescent="0.2">
      <c r="A12" s="11"/>
      <c r="C12" s="13"/>
      <c r="E12" s="14" t="s">
        <v>32</v>
      </c>
      <c r="F12" s="14"/>
      <c r="G12" s="12" t="s">
        <v>10</v>
      </c>
      <c r="H12"/>
      <c r="I12"/>
    </row>
    <row r="13" spans="1:15" x14ac:dyDescent="0.2">
      <c r="A13" s="23" t="s">
        <v>8</v>
      </c>
      <c r="B13" s="24"/>
      <c r="C13" s="32">
        <f>E13-C3</f>
        <v>120.7462494642092</v>
      </c>
      <c r="E13" s="10">
        <f>(B3*C5/B5)</f>
        <v>389.7462494642092</v>
      </c>
      <c r="F13" s="10"/>
      <c r="G13" s="10">
        <f>C5*I2</f>
        <v>120.74624946420919</v>
      </c>
      <c r="O13">
        <f>2333+269-121+4418</f>
        <v>6899</v>
      </c>
    </row>
    <row r="14" spans="1:15" x14ac:dyDescent="0.2">
      <c r="A14" s="23" t="s">
        <v>9</v>
      </c>
      <c r="B14" s="24"/>
      <c r="C14" s="25">
        <f>C3-C13</f>
        <v>148.2537505357908</v>
      </c>
    </row>
    <row r="15" spans="1:15" x14ac:dyDescent="0.2">
      <c r="A15" s="4" t="s">
        <v>19</v>
      </c>
      <c r="C15" s="10">
        <f>SUM(C13:C14)</f>
        <v>269</v>
      </c>
    </row>
    <row r="16" spans="1:15" x14ac:dyDescent="0.2">
      <c r="C16" s="6"/>
    </row>
    <row r="18" spans="1:12" x14ac:dyDescent="0.2">
      <c r="A18" s="3" t="s">
        <v>21</v>
      </c>
      <c r="F18" s="4" t="s">
        <v>11</v>
      </c>
      <c r="G18" s="4" t="s">
        <v>12</v>
      </c>
      <c r="H18" s="5" t="s">
        <v>5</v>
      </c>
      <c r="I18" s="5" t="s">
        <v>6</v>
      </c>
      <c r="J18" s="4" t="s">
        <v>13</v>
      </c>
      <c r="K18" s="4" t="s">
        <v>14</v>
      </c>
      <c r="L18" s="4" t="s">
        <v>20</v>
      </c>
    </row>
    <row r="19" spans="1:12" ht="17" thickBot="1" x14ac:dyDescent="0.25">
      <c r="B19" s="4" t="s">
        <v>0</v>
      </c>
      <c r="C19" s="7" t="s">
        <v>1</v>
      </c>
      <c r="D19" s="4"/>
      <c r="F19" s="15">
        <f>B20/B22</f>
        <v>1</v>
      </c>
      <c r="G19" s="15">
        <f>C20/C22</f>
        <v>0</v>
      </c>
      <c r="H19" s="6" t="e">
        <f>(C20/C22)/(B20/B21)</f>
        <v>#DIV/0!</v>
      </c>
      <c r="I19" s="16">
        <f>(B20/B22)-(C20/C22)</f>
        <v>1</v>
      </c>
      <c r="J19" s="18">
        <f>B21+C21+B20+C20-$C$13</f>
        <v>60.102624279923191</v>
      </c>
      <c r="K19" s="18">
        <f>B20+C20</f>
        <v>60.102624279923205</v>
      </c>
      <c r="L19" s="27">
        <f>J19/D22</f>
        <v>0.33233618233618228</v>
      </c>
    </row>
    <row r="20" spans="1:12" x14ac:dyDescent="0.2">
      <c r="A20" s="4" t="s">
        <v>2</v>
      </c>
      <c r="B20" s="28">
        <f>C22*B5/C5</f>
        <v>60.102624279923205</v>
      </c>
      <c r="C20" s="29">
        <v>0</v>
      </c>
      <c r="D20" s="10">
        <f>SUM(B20:C20)</f>
        <v>60.102624279923205</v>
      </c>
      <c r="F20"/>
      <c r="G20"/>
      <c r="I20" s="16"/>
      <c r="K20" s="4" t="s">
        <v>2</v>
      </c>
    </row>
    <row r="21" spans="1:12" ht="17" thickBot="1" x14ac:dyDescent="0.25">
      <c r="A21" s="4" t="s">
        <v>3</v>
      </c>
      <c r="B21" s="30">
        <v>0</v>
      </c>
      <c r="C21" s="31">
        <f>C13</f>
        <v>120.7462494642092</v>
      </c>
      <c r="D21" s="10">
        <f>SUM(B21:C21)</f>
        <v>120.7462494642092</v>
      </c>
    </row>
    <row r="22" spans="1:12" x14ac:dyDescent="0.2">
      <c r="B22" s="6">
        <f>C22*$B$5/$C$5</f>
        <v>60.102624279923205</v>
      </c>
      <c r="C22" s="6">
        <f>SUM(C20:C21)</f>
        <v>120.7462494642092</v>
      </c>
      <c r="D22" s="10">
        <f>SUM(B22:C22)</f>
        <v>180.84887374413239</v>
      </c>
    </row>
    <row r="23" spans="1:12" x14ac:dyDescent="0.2">
      <c r="A23" s="4" t="s">
        <v>17</v>
      </c>
    </row>
    <row r="24" spans="1:12" x14ac:dyDescent="0.2">
      <c r="B24" s="10">
        <f>B22*D20/D22</f>
        <v>19.974276701575619</v>
      </c>
      <c r="C24" s="10">
        <f>C22*D20/D22</f>
        <v>40.128347578347594</v>
      </c>
      <c r="E24" s="26">
        <f>(B20-B24)^2/$D$22</f>
        <v>8.9040326656771338</v>
      </c>
      <c r="F24" s="26">
        <f>(C20-C24)^2/$D$22</f>
        <v>8.9040326656771374</v>
      </c>
      <c r="G24"/>
      <c r="H24" s="22" t="s">
        <v>18</v>
      </c>
      <c r="I24" s="6">
        <f>SUM(E24:F25)</f>
        <v>35.616130662708542</v>
      </c>
    </row>
    <row r="25" spans="1:12" x14ac:dyDescent="0.2">
      <c r="B25" s="10">
        <f>B22*D21/D22</f>
        <v>40.128347578347594</v>
      </c>
      <c r="C25" s="10">
        <f>C22*D21/D22</f>
        <v>80.617901885861613</v>
      </c>
      <c r="E25" s="26">
        <f>(B21-B25)^2/$D$22</f>
        <v>8.9040326656771374</v>
      </c>
      <c r="F25" s="26">
        <f>(C21-C25)^2/$D$22</f>
        <v>8.9040326656771338</v>
      </c>
    </row>
    <row r="28" spans="1:12" x14ac:dyDescent="0.2">
      <c r="A28" s="3" t="s">
        <v>15</v>
      </c>
      <c r="F28" s="4" t="s">
        <v>11</v>
      </c>
      <c r="G28" s="4" t="s">
        <v>12</v>
      </c>
      <c r="H28" s="5" t="s">
        <v>5</v>
      </c>
      <c r="I28" s="5" t="s">
        <v>6</v>
      </c>
      <c r="J28" s="4" t="s">
        <v>13</v>
      </c>
      <c r="K28" s="4" t="s">
        <v>14</v>
      </c>
      <c r="L28" s="4" t="s">
        <v>20</v>
      </c>
    </row>
    <row r="29" spans="1:12" ht="17" thickBot="1" x14ac:dyDescent="0.25">
      <c r="B29" s="4" t="s">
        <v>0</v>
      </c>
      <c r="C29" s="7" t="s">
        <v>1</v>
      </c>
      <c r="D29" s="4"/>
      <c r="F29" s="15">
        <f>B30/B32</f>
        <v>0.54157736819545654</v>
      </c>
      <c r="G29" s="15">
        <f>C30/C32</f>
        <v>4.1577368195456488E-2</v>
      </c>
      <c r="H29" s="6">
        <f>(C30/C32)/(B30/B31)</f>
        <v>3.5193506359351576E-2</v>
      </c>
      <c r="I29" s="16">
        <f>(B30/B32)-(C30/C32)</f>
        <v>0.5</v>
      </c>
      <c r="J29" s="18">
        <f>B31+C31+B30+C30-$C$13</f>
        <v>240.95149802405564</v>
      </c>
      <c r="K29" s="18">
        <f>B30+C30</f>
        <v>75.14106470271004</v>
      </c>
      <c r="L29" s="27">
        <f>J29/D32</f>
        <v>0.66616809116809128</v>
      </c>
    </row>
    <row r="30" spans="1:12" x14ac:dyDescent="0.2">
      <c r="A30" s="4" t="s">
        <v>2</v>
      </c>
      <c r="B30" s="17">
        <f>$B$20+(B32- $B$20)*$F$2</f>
        <v>65.100442158322309</v>
      </c>
      <c r="C30" s="8">
        <f>(C32-$C$13)*$F$2</f>
        <v>10.040622544387734</v>
      </c>
      <c r="D30" s="10">
        <f>SUM(B30:C30)</f>
        <v>75.14106470271004</v>
      </c>
      <c r="F30"/>
      <c r="G30"/>
      <c r="I30" s="16"/>
      <c r="K30" s="4" t="s">
        <v>2</v>
      </c>
    </row>
    <row r="31" spans="1:12" ht="17" thickBot="1" x14ac:dyDescent="0.25">
      <c r="A31" s="4" t="s">
        <v>3</v>
      </c>
      <c r="B31" s="19">
        <f>B32-B30</f>
        <v>55.104806401524101</v>
      </c>
      <c r="C31" s="9">
        <f>C32-C30</f>
        <v>231.45187638403067</v>
      </c>
      <c r="D31" s="10">
        <f>SUM(B31:C31)</f>
        <v>286.55668278555476</v>
      </c>
    </row>
    <row r="32" spans="1:12" x14ac:dyDescent="0.2">
      <c r="B32" s="10">
        <f>C32*$B$5/$C$5</f>
        <v>120.20524855984641</v>
      </c>
      <c r="C32" s="10">
        <f>2*$C$13</f>
        <v>241.4924989284184</v>
      </c>
      <c r="D32" s="10">
        <f>SUM(B32:C32)</f>
        <v>361.69774748826478</v>
      </c>
    </row>
    <row r="33" spans="1:12" x14ac:dyDescent="0.2">
      <c r="A33" s="4" t="s">
        <v>17</v>
      </c>
    </row>
    <row r="34" spans="1:12" x14ac:dyDescent="0.2">
      <c r="B34" s="10">
        <f>B32*D30/D32</f>
        <v>24.972094579974723</v>
      </c>
      <c r="C34" s="10">
        <f>C32*D30/D32</f>
        <v>50.168970122735324</v>
      </c>
      <c r="E34" s="26">
        <f>(B30-B34)^2/$D$32</f>
        <v>4.4520163328385669</v>
      </c>
      <c r="F34">
        <f>(C30-C34)^2/$D$32</f>
        <v>4.4520163328385669</v>
      </c>
      <c r="G34"/>
      <c r="H34" s="22" t="s">
        <v>18</v>
      </c>
      <c r="I34" s="6">
        <f>SUM(E34:F35)</f>
        <v>17.808065331354268</v>
      </c>
    </row>
    <row r="35" spans="1:12" x14ac:dyDescent="0.2">
      <c r="B35" s="10">
        <f>B32*D31/D32</f>
        <v>95.233153979871688</v>
      </c>
      <c r="C35" s="10">
        <f>C32*D31/D32</f>
        <v>191.32352880568308</v>
      </c>
      <c r="E35" s="26">
        <f>(B31-B35)^2/$D$32</f>
        <v>4.4520163328385669</v>
      </c>
      <c r="F35">
        <f>(C31-C35)^2/$D$32</f>
        <v>4.4520163328385669</v>
      </c>
    </row>
    <row r="38" spans="1:12" x14ac:dyDescent="0.2">
      <c r="A38" s="3" t="s">
        <v>16</v>
      </c>
      <c r="F38" s="4" t="s">
        <v>11</v>
      </c>
      <c r="G38" s="4" t="s">
        <v>12</v>
      </c>
      <c r="H38" s="5" t="s">
        <v>5</v>
      </c>
      <c r="I38" s="5" t="s">
        <v>6</v>
      </c>
      <c r="J38" s="4" t="s">
        <v>13</v>
      </c>
      <c r="K38" s="4" t="s">
        <v>14</v>
      </c>
      <c r="L38" s="4" t="s">
        <v>20</v>
      </c>
    </row>
    <row r="39" spans="1:12" ht="17" thickBot="1" x14ac:dyDescent="0.25">
      <c r="B39" s="4" t="s">
        <v>0</v>
      </c>
      <c r="C39" s="7" t="s">
        <v>1</v>
      </c>
      <c r="D39" s="4"/>
      <c r="F39" s="15">
        <f>B40/B42</f>
        <v>0.17483926275182168</v>
      </c>
      <c r="G39" s="15">
        <f>C40/C42</f>
        <v>7.4839262751821678E-2</v>
      </c>
      <c r="H39" s="6">
        <f>(C40/C42)/(B40/B41)</f>
        <v>0.35320682697605277</v>
      </c>
      <c r="I39" s="16">
        <f>(B40/B42)-(C40/C42)</f>
        <v>0.1</v>
      </c>
      <c r="J39" s="18">
        <f>B41+C41+B40+C40-$C$13</f>
        <v>1687.7424879771147</v>
      </c>
      <c r="K39" s="18">
        <f>B40+C40</f>
        <v>195.4485880850047</v>
      </c>
      <c r="L39" s="27">
        <f>J39/D42</f>
        <v>0.93323361823361817</v>
      </c>
    </row>
    <row r="40" spans="1:12" x14ac:dyDescent="0.2">
      <c r="A40" s="4" t="s">
        <v>2</v>
      </c>
      <c r="B40" s="17">
        <f>$B$20+(B42-$B$20)*$F$2</f>
        <v>105.0829851855151</v>
      </c>
      <c r="C40" s="8">
        <f>(C42-$C$13)*$F$2</f>
        <v>90.365602899489602</v>
      </c>
      <c r="D40" s="10">
        <f>SUM(B40:C40)</f>
        <v>195.4485880850047</v>
      </c>
      <c r="F40"/>
      <c r="G40"/>
      <c r="I40" s="16"/>
      <c r="K40" s="4" t="s">
        <v>2</v>
      </c>
    </row>
    <row r="41" spans="1:12" ht="17" thickBot="1" x14ac:dyDescent="0.25">
      <c r="A41" s="4" t="s">
        <v>3</v>
      </c>
      <c r="B41" s="19">
        <f>B42-B40</f>
        <v>495.94325761371692</v>
      </c>
      <c r="C41" s="9">
        <f>C42-C40</f>
        <v>1117.0968917426023</v>
      </c>
      <c r="D41" s="10">
        <f>SUM(B41:C41)</f>
        <v>1613.0401493563193</v>
      </c>
    </row>
    <row r="42" spans="1:12" x14ac:dyDescent="0.2">
      <c r="B42" s="10">
        <f>C42*$B$5/$C$5</f>
        <v>601.02624279923202</v>
      </c>
      <c r="C42" s="10">
        <f>10*$C$13</f>
        <v>1207.462494642092</v>
      </c>
      <c r="D42" s="10">
        <f>SUM(B42:C42)</f>
        <v>1808.488737441324</v>
      </c>
    </row>
    <row r="43" spans="1:12" x14ac:dyDescent="0.2">
      <c r="A43" s="4" t="s">
        <v>17</v>
      </c>
    </row>
    <row r="44" spans="1:12" x14ac:dyDescent="0.2">
      <c r="B44" s="10">
        <f>B42*D40/D42</f>
        <v>64.954637607167513</v>
      </c>
      <c r="C44" s="10">
        <f>C42*D40/D42</f>
        <v>130.49395047783719</v>
      </c>
      <c r="E44" s="26">
        <f>(B40-B44)^2/$D$42</f>
        <v>0.89040326656771329</v>
      </c>
      <c r="F44">
        <f>(C40-C44)^2/$D$42</f>
        <v>0.89040326656771329</v>
      </c>
      <c r="G44"/>
      <c r="H44" s="22" t="s">
        <v>18</v>
      </c>
      <c r="I44" s="6">
        <f>SUM(E44:F45)</f>
        <v>3.5616130662708487</v>
      </c>
    </row>
    <row r="45" spans="1:12" x14ac:dyDescent="0.2">
      <c r="B45" s="10">
        <f>B42*D41/D42</f>
        <v>536.07160519206445</v>
      </c>
      <c r="C45" s="10">
        <f>C42*D41/D42</f>
        <v>1076.9685441642548</v>
      </c>
      <c r="E45" s="26">
        <f>(B41-B45)^2/$D$42</f>
        <v>0.89040326656771085</v>
      </c>
      <c r="F45">
        <f>(C41-C45)^2/$D$42</f>
        <v>0.89040326656771085</v>
      </c>
    </row>
    <row r="48" spans="1:12" x14ac:dyDescent="0.2">
      <c r="A48" s="21"/>
      <c r="B48" s="20"/>
    </row>
  </sheetData>
  <pageMargins left="0.75" right="0.75" top="1" bottom="1" header="0.5" footer="0.5"/>
  <pageSetup paperSize="9" orientation="portrait" horizontalDpi="4294967292" verticalDpi="4294967292"/>
  <legacyDrawing r:id="rId1"/>
  <extLst>
    <ext xmlns:mx="http://schemas.microsoft.com/office/mac/excel/2008/main" uri="{64002731-A6B0-56B0-2670-7721B7C09600}">
      <mx:PLV Mode="0" OnePage="0" WScale="0"/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H42"/>
  <sheetViews>
    <sheetView topLeftCell="A53" workbookViewId="0">
      <selection sqref="A1:A1048576"/>
    </sheetView>
  </sheetViews>
  <sheetFormatPr baseColWidth="10" defaultRowHeight="16" x14ac:dyDescent="0.2"/>
  <cols>
    <col min="1" max="1" width="10.83203125" style="39"/>
    <col min="4" max="4" width="10.83203125" style="39"/>
    <col min="7" max="7" width="10.83203125" style="39"/>
    <col min="8" max="8" width="10.83203125" style="10"/>
  </cols>
  <sheetData>
    <row r="1" spans="1:8" s="11" customFormat="1" ht="68" x14ac:dyDescent="0.2">
      <c r="A1" s="38" t="str">
        <f>'plot ethical losses'!B1</f>
        <v>ethical losses in % of enrolled patients</v>
      </c>
      <c r="B1" s="11" t="str">
        <f>'plot p-value'!B1</f>
        <v>p-value</v>
      </c>
      <c r="D1" s="38" t="str">
        <f>A1</f>
        <v>ethical losses in % of enrolled patients</v>
      </c>
      <c r="E1" s="11" t="str">
        <f>'plot RR'!B1</f>
        <v>RR</v>
      </c>
      <c r="G1" s="38" t="str">
        <f>D1</f>
        <v>ethical losses in % of enrolled patients</v>
      </c>
      <c r="H1" s="40" t="str">
        <f>'plot sample size'!B1</f>
        <v>sample size</v>
      </c>
    </row>
    <row r="2" spans="1:8" x14ac:dyDescent="0.2">
      <c r="A2" s="39">
        <f>'plot ethical losses'!B2</f>
        <v>0.33233618233618228</v>
      </c>
      <c r="B2" s="37">
        <f>'plot p-value'!B2</f>
        <v>2.4028953801386042E-9</v>
      </c>
      <c r="C2" s="37"/>
      <c r="D2" s="39">
        <f>A2</f>
        <v>0.33233618233618228</v>
      </c>
      <c r="E2" s="6">
        <f>'plot RR'!B2</f>
        <v>0</v>
      </c>
      <c r="F2" s="6"/>
      <c r="G2" s="39">
        <f>D2</f>
        <v>0.33233618233618228</v>
      </c>
      <c r="H2" s="10">
        <f>'plot sample size'!B2</f>
        <v>180.84887374413239</v>
      </c>
    </row>
    <row r="3" spans="1:8" x14ac:dyDescent="0.2">
      <c r="A3" s="39">
        <f>'plot ethical losses'!B3</f>
        <v>0.34902777777777788</v>
      </c>
      <c r="B3" s="37">
        <f>'plot p-value'!B3</f>
        <v>3.7958193587802203E-9</v>
      </c>
      <c r="C3" s="37"/>
      <c r="D3" s="39">
        <f t="shared" ref="D3:D41" si="0">A3</f>
        <v>0.34902777777777788</v>
      </c>
      <c r="E3" s="6">
        <f>'plot RR'!B3</f>
        <v>2.1276362400061504E-3</v>
      </c>
      <c r="F3" s="6"/>
      <c r="G3" s="39">
        <f t="shared" ref="G3:G41" si="1">D3</f>
        <v>0.34902777777777788</v>
      </c>
      <c r="H3" s="10">
        <f>'plot sample size'!B3</f>
        <v>185.48602435295635</v>
      </c>
    </row>
    <row r="4" spans="1:8" x14ac:dyDescent="0.2">
      <c r="A4" s="39">
        <f>'plot ethical losses'!B4</f>
        <v>0.3657193732193732</v>
      </c>
      <c r="B4" s="37">
        <f>'plot p-value'!B4</f>
        <v>5.9979848329532207E-9</v>
      </c>
      <c r="C4" s="37"/>
      <c r="D4" s="39">
        <f t="shared" si="0"/>
        <v>0.3657193732193732</v>
      </c>
      <c r="E4" s="6">
        <f>'plot RR'!B4</f>
        <v>4.3574942162125695E-3</v>
      </c>
      <c r="F4" s="6"/>
      <c r="G4" s="39">
        <f t="shared" si="1"/>
        <v>0.3657193732193732</v>
      </c>
      <c r="H4" s="10">
        <f>'plot sample size'!B4</f>
        <v>190.36723552013936</v>
      </c>
    </row>
    <row r="5" spans="1:8" x14ac:dyDescent="0.2">
      <c r="A5" s="39">
        <f>'plot ethical losses'!B5</f>
        <v>0.38241096866096869</v>
      </c>
      <c r="B5" s="37">
        <f>'plot p-value'!B5</f>
        <v>9.4807111757635514E-9</v>
      </c>
      <c r="C5" s="37"/>
      <c r="D5" s="39">
        <f t="shared" si="0"/>
        <v>0.38241096866096869</v>
      </c>
      <c r="E5" s="6">
        <f>'plot RR'!B5</f>
        <v>6.6971220786394064E-3</v>
      </c>
      <c r="F5" s="6"/>
      <c r="G5" s="39">
        <f t="shared" si="1"/>
        <v>0.38241096866096869</v>
      </c>
      <c r="H5" s="10">
        <f>'plot sample size'!B5</f>
        <v>195.51229593960261</v>
      </c>
    </row>
    <row r="6" spans="1:8" x14ac:dyDescent="0.2">
      <c r="A6" s="39">
        <f>'plot ethical losses'!B6</f>
        <v>0.39910256410256423</v>
      </c>
      <c r="B6" s="37">
        <f>'plot p-value'!B6</f>
        <v>1.4990609302000213E-8</v>
      </c>
      <c r="C6" s="37"/>
      <c r="D6" s="39">
        <f t="shared" si="0"/>
        <v>0.39910256410256423</v>
      </c>
      <c r="E6" s="6">
        <f>'plot RR'!B6</f>
        <v>9.1548298806097082E-3</v>
      </c>
      <c r="F6" s="6"/>
      <c r="G6" s="39">
        <f t="shared" si="1"/>
        <v>0.39910256410256423</v>
      </c>
      <c r="H6" s="10">
        <f>'plot sample size'!B6</f>
        <v>200.94319304903604</v>
      </c>
    </row>
    <row r="7" spans="1:8" x14ac:dyDescent="0.2">
      <c r="A7" s="39">
        <f>'plot ethical losses'!B7</f>
        <v>0.41579415954415971</v>
      </c>
      <c r="B7" s="37">
        <f>'plot p-value'!B7</f>
        <v>2.3710905127709906E-8</v>
      </c>
      <c r="C7" s="37"/>
      <c r="D7" s="39">
        <f t="shared" si="0"/>
        <v>0.41579415954415971</v>
      </c>
      <c r="E7" s="6">
        <f>'plot RR'!B7</f>
        <v>1.1739788199697447E-2</v>
      </c>
      <c r="F7" s="6"/>
      <c r="G7" s="39">
        <f t="shared" si="1"/>
        <v>0.41579415954415971</v>
      </c>
      <c r="H7" s="10">
        <f>'plot sample size'!B7</f>
        <v>206.68442713615138</v>
      </c>
    </row>
    <row r="8" spans="1:8" x14ac:dyDescent="0.2">
      <c r="A8" s="39">
        <f>'plot ethical losses'!B8</f>
        <v>0.4324857549857552</v>
      </c>
      <c r="B8" s="37">
        <f>'plot p-value'!B8</f>
        <v>3.7517661167898454E-8</v>
      </c>
      <c r="C8" s="37"/>
      <c r="D8" s="39">
        <f t="shared" si="0"/>
        <v>0.4324857549857552</v>
      </c>
      <c r="E8" s="6">
        <f>'plot RR'!B8</f>
        <v>1.4462142484407242E-2</v>
      </c>
      <c r="F8" s="6"/>
      <c r="G8" s="39">
        <f t="shared" si="1"/>
        <v>0.4324857549857552</v>
      </c>
      <c r="H8" s="10">
        <f>'plot sample size'!B8</f>
        <v>212.76338087544991</v>
      </c>
    </row>
    <row r="9" spans="1:8" x14ac:dyDescent="0.2">
      <c r="A9" s="39">
        <f>'plot ethical losses'!B9</f>
        <v>0.44917735042735074</v>
      </c>
      <c r="B9" s="37">
        <f>'plot p-value'!B9</f>
        <v>5.9386969532098826E-8</v>
      </c>
      <c r="C9" s="37"/>
      <c r="D9" s="39">
        <f t="shared" si="0"/>
        <v>0.44917735042735074</v>
      </c>
      <c r="E9" s="6">
        <f>'plot RR'!B9</f>
        <v>1.7333146131951482E-2</v>
      </c>
      <c r="F9" s="6"/>
      <c r="G9" s="39">
        <f t="shared" si="1"/>
        <v>0.44917735042735074</v>
      </c>
      <c r="H9" s="10">
        <f>'plot sample size'!B9</f>
        <v>219.2107560534939</v>
      </c>
    </row>
    <row r="10" spans="1:8" x14ac:dyDescent="0.2">
      <c r="A10" s="39">
        <f>'plot ethical losses'!B10</f>
        <v>0.46586894586894601</v>
      </c>
      <c r="B10" s="37">
        <f>'plot p-value'!B10</f>
        <v>9.4042497297820906E-8</v>
      </c>
      <c r="C10" s="37"/>
      <c r="D10" s="39">
        <f t="shared" si="0"/>
        <v>0.46586894586894601</v>
      </c>
      <c r="E10" s="6">
        <f>'plot RR'!B10</f>
        <v>2.036531597732524E-2</v>
      </c>
      <c r="F10" s="6"/>
      <c r="G10" s="39">
        <f t="shared" si="1"/>
        <v>0.46586894586894601</v>
      </c>
      <c r="H10" s="10">
        <f>'plot sample size'!B10</f>
        <v>226.06109218016556</v>
      </c>
    </row>
    <row r="11" spans="1:8" x14ac:dyDescent="0.2">
      <c r="A11" s="39">
        <f>'plot ethical losses'!B11</f>
        <v>0.48256054131054144</v>
      </c>
      <c r="B11" s="37">
        <f>'plot p-value'!B11</f>
        <v>1.4898598296455318E-7</v>
      </c>
      <c r="C11" s="37"/>
      <c r="D11" s="39">
        <f t="shared" si="0"/>
        <v>0.48256054131054144</v>
      </c>
      <c r="E11" s="6">
        <f>'plot RR'!B11</f>
        <v>2.3572614724108633E-2</v>
      </c>
      <c r="F11" s="6"/>
      <c r="G11" s="39">
        <f t="shared" si="1"/>
        <v>0.48256054131054144</v>
      </c>
      <c r="H11" s="10">
        <f>'plot sample size'!B11</f>
        <v>233.35338547629993</v>
      </c>
    </row>
    <row r="12" spans="1:8" x14ac:dyDescent="0.2">
      <c r="A12" s="39">
        <f>'plot ethical losses'!B12</f>
        <v>0.49925213675213692</v>
      </c>
      <c r="B12" s="37">
        <f>'plot p-value'!B12</f>
        <v>2.3613840280549688E-7</v>
      </c>
      <c r="C12" s="37"/>
      <c r="D12" s="39">
        <f t="shared" si="0"/>
        <v>0.49925213675213692</v>
      </c>
      <c r="E12" s="6">
        <f>'plot RR'!B12</f>
        <v>2.6970665925205094E-2</v>
      </c>
      <c r="F12" s="6"/>
      <c r="G12" s="39">
        <f t="shared" si="1"/>
        <v>0.49925213675213692</v>
      </c>
      <c r="H12" s="10">
        <f>'plot sample size'!B12</f>
        <v>241.13183165884328</v>
      </c>
    </row>
    <row r="13" spans="1:8" x14ac:dyDescent="0.2">
      <c r="A13" s="39">
        <f>'plot ethical losses'!B13</f>
        <v>0.51594373219373235</v>
      </c>
      <c r="B13" s="37">
        <f>'plot p-value'!B13</f>
        <v>3.7445583181650561E-7</v>
      </c>
      <c r="C13" s="37"/>
      <c r="D13" s="39">
        <f t="shared" si="0"/>
        <v>0.51594373219373235</v>
      </c>
      <c r="E13" s="6">
        <f>'plot RR'!B13</f>
        <v>3.0577008496797623E-2</v>
      </c>
      <c r="F13" s="6"/>
      <c r="G13" s="39">
        <f t="shared" si="1"/>
        <v>0.51594373219373235</v>
      </c>
      <c r="H13" s="10">
        <f>'plot sample size'!B13</f>
        <v>249.44672240569997</v>
      </c>
    </row>
    <row r="14" spans="1:8" x14ac:dyDescent="0.2">
      <c r="A14" s="39">
        <f>'plot ethical losses'!B14</f>
        <v>0.53263532763532784</v>
      </c>
      <c r="B14" s="37">
        <f>'plot p-value'!B14</f>
        <v>5.9410257409931776E-7</v>
      </c>
      <c r="C14" s="37"/>
      <c r="D14" s="39">
        <f t="shared" si="0"/>
        <v>0.53263532763532784</v>
      </c>
      <c r="E14" s="6">
        <f>'plot RR'!B14</f>
        <v>3.4411399515165891E-2</v>
      </c>
      <c r="F14" s="6"/>
      <c r="G14" s="39">
        <f t="shared" si="1"/>
        <v>0.53263532763532784</v>
      </c>
      <c r="H14" s="10">
        <f>'plot sample size'!B14</f>
        <v>258.35553392018926</v>
      </c>
    </row>
    <row r="15" spans="1:8" x14ac:dyDescent="0.2">
      <c r="A15" s="39">
        <f>'plot ethical losses'!B15</f>
        <v>0.5493269230769231</v>
      </c>
      <c r="B15" s="37">
        <f>'plot p-value'!B15</f>
        <v>9.4311504766686552E-7</v>
      </c>
      <c r="C15" s="37"/>
      <c r="D15" s="39">
        <f t="shared" si="0"/>
        <v>0.5493269230769231</v>
      </c>
      <c r="E15" s="6">
        <f>'plot RR'!B15</f>
        <v>3.8496176331415194E-2</v>
      </c>
      <c r="F15" s="6"/>
      <c r="G15" s="39">
        <f t="shared" si="1"/>
        <v>0.5493269230769231</v>
      </c>
      <c r="H15" s="10">
        <f>'plot sample size'!B15</f>
        <v>267.92425739871481</v>
      </c>
    </row>
    <row r="16" spans="1:8" x14ac:dyDescent="0.2">
      <c r="A16" s="39">
        <f>'plot ethical losses'!B16</f>
        <v>0.56601851851851881</v>
      </c>
      <c r="B16" s="37">
        <f>'plot p-value'!B16</f>
        <v>1.4980542103164473E-6</v>
      </c>
      <c r="C16" s="37"/>
      <c r="D16" s="39">
        <f t="shared" si="0"/>
        <v>0.56601851851851881</v>
      </c>
      <c r="E16" s="6">
        <f>'plot RR'!B16</f>
        <v>4.2856692018809046E-2</v>
      </c>
      <c r="F16" s="6"/>
      <c r="G16" s="39">
        <f t="shared" si="1"/>
        <v>0.56601851851851881</v>
      </c>
      <c r="H16" s="10">
        <f>'plot sample size'!B16</f>
        <v>278.22903652943467</v>
      </c>
    </row>
    <row r="17" spans="1:8" x14ac:dyDescent="0.2">
      <c r="A17" s="39">
        <f>'plot ethical losses'!B17</f>
        <v>0.58271011396011418</v>
      </c>
      <c r="B17" s="37">
        <f>'plot p-value'!B17</f>
        <v>2.3810533237409659E-6</v>
      </c>
      <c r="C17" s="37"/>
      <c r="D17" s="39">
        <f t="shared" si="0"/>
        <v>0.58271011396011418</v>
      </c>
      <c r="E17" s="6">
        <f>'plot RR'!B17</f>
        <v>4.7521842083775676E-2</v>
      </c>
      <c r="F17" s="6"/>
      <c r="G17" s="39">
        <f t="shared" si="1"/>
        <v>0.58271011396011418</v>
      </c>
      <c r="H17" s="10">
        <f>'plot sample size'!B17</f>
        <v>289.35819799061198</v>
      </c>
    </row>
    <row r="18" spans="1:8" x14ac:dyDescent="0.2">
      <c r="A18" s="39">
        <f>'plot ethical losses'!B18</f>
        <v>0.59940170940170978</v>
      </c>
      <c r="B18" s="37">
        <f>'plot p-value'!B18</f>
        <v>3.7871349259340729E-6</v>
      </c>
      <c r="C18" s="37"/>
      <c r="D18" s="39">
        <f t="shared" si="0"/>
        <v>0.59940170940170978</v>
      </c>
      <c r="E18" s="6">
        <f>'plot RR'!B18</f>
        <v>5.2524705563828426E-2</v>
      </c>
      <c r="F18" s="6"/>
      <c r="G18" s="39">
        <f t="shared" si="1"/>
        <v>0.59940170940170978</v>
      </c>
      <c r="H18" s="10">
        <f>'plot sample size'!B18</f>
        <v>301.41478957355417</v>
      </c>
    </row>
    <row r="19" spans="1:8" x14ac:dyDescent="0.2">
      <c r="A19" s="39">
        <f>'plot ethical losses'!B19</f>
        <v>0.61609330484330505</v>
      </c>
      <c r="B19" s="37">
        <f>'plot p-value'!B19</f>
        <v>6.0280436562215581E-6</v>
      </c>
      <c r="C19" s="37"/>
      <c r="D19" s="39">
        <f t="shared" si="0"/>
        <v>0.61609330484330505</v>
      </c>
      <c r="E19" s="6">
        <f>'plot RR'!B19</f>
        <v>5.7903330582720375E-2</v>
      </c>
      <c r="F19" s="6"/>
      <c r="G19" s="39">
        <f t="shared" si="1"/>
        <v>0.61609330484330505</v>
      </c>
      <c r="H19" s="10">
        <f>'plot sample size'!B19</f>
        <v>314.5197804245783</v>
      </c>
    </row>
    <row r="20" spans="1:8" x14ac:dyDescent="0.2">
      <c r="A20" s="39">
        <f>'plot ethical losses'!B20</f>
        <v>0.63278490028490053</v>
      </c>
      <c r="B20" s="37">
        <f>'plot p-value'!B20</f>
        <v>9.6026883511483377E-6</v>
      </c>
      <c r="C20" s="37"/>
      <c r="D20" s="39">
        <f t="shared" si="0"/>
        <v>0.63278490028490053</v>
      </c>
      <c r="E20" s="6">
        <f>'plot RR'!B20</f>
        <v>6.3701703819913288E-2</v>
      </c>
      <c r="F20" s="6"/>
      <c r="G20" s="39">
        <f t="shared" si="1"/>
        <v>0.63278490028490053</v>
      </c>
      <c r="H20" s="10">
        <f>'plot sample size'!B20</f>
        <v>328.816134080241</v>
      </c>
    </row>
    <row r="21" spans="1:8" x14ac:dyDescent="0.2">
      <c r="A21" s="39">
        <f>'plot ethical losses'!B21</f>
        <v>0.64947649572649579</v>
      </c>
      <c r="B21" s="37">
        <f>'plot p-value'!B21</f>
        <v>1.531054009076669E-5</v>
      </c>
      <c r="C21" s="37"/>
      <c r="D21" s="39">
        <f t="shared" si="0"/>
        <v>0.64947649572649579</v>
      </c>
      <c r="E21" s="6">
        <f>'plot RR'!B21</f>
        <v>6.9970956168492304E-2</v>
      </c>
      <c r="F21" s="6"/>
      <c r="G21" s="39">
        <f t="shared" si="1"/>
        <v>0.64947649572649579</v>
      </c>
      <c r="H21" s="10">
        <f>'plot sample size'!B21</f>
        <v>344.47404522691915</v>
      </c>
    </row>
    <row r="22" spans="1:8" x14ac:dyDescent="0.2">
      <c r="A22" s="39">
        <f>'plot ethical losses'!B22</f>
        <v>0.66616809116809161</v>
      </c>
      <c r="B22" s="37">
        <f>'plot p-value'!B22</f>
        <v>2.4434529253604071E-5</v>
      </c>
      <c r="C22" s="37"/>
      <c r="D22" s="39">
        <f t="shared" si="0"/>
        <v>0.66616809116809161</v>
      </c>
      <c r="E22" s="6">
        <f>'plot RR'!B22</f>
        <v>7.677087455480823E-2</v>
      </c>
      <c r="F22" s="6"/>
      <c r="G22" s="39">
        <f t="shared" si="1"/>
        <v>0.66616809116809161</v>
      </c>
      <c r="H22" s="10">
        <f>'plot sample size'!B22</f>
        <v>361.69774748826512</v>
      </c>
    </row>
    <row r="23" spans="1:8" x14ac:dyDescent="0.2">
      <c r="A23" s="39">
        <f>'plot ethical losses'!B23</f>
        <v>0.68285968660968688</v>
      </c>
      <c r="B23" s="37">
        <f>'plot p-value'!B23</f>
        <v>3.9036668886282121E-5</v>
      </c>
      <c r="C23" s="37"/>
      <c r="D23" s="39">
        <f t="shared" si="0"/>
        <v>0.68285968660968688</v>
      </c>
      <c r="E23" s="6">
        <f>'plot RR'!B23</f>
        <v>8.4171814631929243E-2</v>
      </c>
      <c r="F23" s="6"/>
      <c r="G23" s="39">
        <f t="shared" si="1"/>
        <v>0.68285968660968688</v>
      </c>
      <c r="H23" s="10">
        <f>'plot sample size'!B23</f>
        <v>380.73447104027912</v>
      </c>
    </row>
    <row r="24" spans="1:8" x14ac:dyDescent="0.2">
      <c r="A24" s="39">
        <f>'plot ethical losses'!B24</f>
        <v>0.69955128205128236</v>
      </c>
      <c r="B24" s="37">
        <f>'plot p-value'!B24</f>
        <v>6.243704244396658E-5</v>
      </c>
      <c r="C24" s="37"/>
      <c r="D24" s="39">
        <f t="shared" si="0"/>
        <v>0.69955128205128236</v>
      </c>
      <c r="E24" s="6">
        <f>'plot RR'!B24</f>
        <v>9.2257144092343757E-2</v>
      </c>
      <c r="F24" s="6"/>
      <c r="G24" s="39">
        <f t="shared" si="1"/>
        <v>0.69955128205128236</v>
      </c>
      <c r="H24" s="10">
        <f>'plot sample size'!B24</f>
        <v>401.88638609807242</v>
      </c>
    </row>
    <row r="25" spans="1:8" x14ac:dyDescent="0.2">
      <c r="A25" s="39">
        <f>'plot ethical losses'!B25</f>
        <v>0.71624287749287785</v>
      </c>
      <c r="B25" s="37">
        <f>'plot p-value'!B25</f>
        <v>9.9992039199823903E-5</v>
      </c>
      <c r="C25" s="37"/>
      <c r="D25" s="39">
        <f t="shared" si="0"/>
        <v>0.71624287749287785</v>
      </c>
      <c r="E25" s="6">
        <f>'plot RR'!B25</f>
        <v>0.10112639666387163</v>
      </c>
      <c r="F25" s="6"/>
      <c r="G25" s="39">
        <f t="shared" si="1"/>
        <v>0.71624287749287785</v>
      </c>
      <c r="H25" s="10">
        <f>'plot sample size'!B25</f>
        <v>425.52676175090028</v>
      </c>
    </row>
    <row r="26" spans="1:8" x14ac:dyDescent="0.2">
      <c r="A26" s="39">
        <f>'plot ethical losses'!B26</f>
        <v>0.73293447293447334</v>
      </c>
      <c r="B26" s="37">
        <f>'plot p-value'!B26</f>
        <v>1.6036281605365279E-4</v>
      </c>
      <c r="C26" s="37"/>
      <c r="D26" s="39">
        <f t="shared" si="0"/>
        <v>0.73293447293447334</v>
      </c>
      <c r="E26" s="6">
        <f>'plot RR'!B26</f>
        <v>0.11089939024390268</v>
      </c>
      <c r="F26" s="6"/>
      <c r="G26" s="39">
        <f t="shared" si="1"/>
        <v>0.73293447293447334</v>
      </c>
      <c r="H26" s="10">
        <f>'plot sample size'!B26</f>
        <v>452.12218436033169</v>
      </c>
    </row>
    <row r="27" spans="1:8" x14ac:dyDescent="0.2">
      <c r="A27" s="39">
        <f>'plot ethical losses'!B27</f>
        <v>0.7496260683760686</v>
      </c>
      <c r="B27" s="37">
        <f>'plot p-value'!B27</f>
        <v>2.5759041745427886E-4</v>
      </c>
      <c r="C27" s="37"/>
      <c r="D27" s="39">
        <f t="shared" si="0"/>
        <v>0.7496260683760686</v>
      </c>
      <c r="E27" s="6">
        <f>'plot RR'!B27</f>
        <v>0.12172167147697353</v>
      </c>
      <c r="F27" s="6"/>
      <c r="G27" s="39">
        <f t="shared" si="1"/>
        <v>0.7496260683760686</v>
      </c>
      <c r="H27" s="10">
        <f>'plot sample size'!B27</f>
        <v>482.26366331768713</v>
      </c>
    </row>
    <row r="28" spans="1:8" x14ac:dyDescent="0.2">
      <c r="A28" s="39">
        <f>'plot ethical losses'!B28</f>
        <v>0.7663176638176642</v>
      </c>
      <c r="B28" s="37">
        <f>'plot p-value'!B28</f>
        <v>4.1450520231683133E-4</v>
      </c>
      <c r="C28" s="37"/>
      <c r="D28" s="39">
        <f t="shared" si="0"/>
        <v>0.7663176638176642</v>
      </c>
      <c r="E28" s="6">
        <f>'plot RR'!B28</f>
        <v>0.13377181350448233</v>
      </c>
      <c r="F28" s="6"/>
      <c r="G28" s="39">
        <f t="shared" si="1"/>
        <v>0.7663176638176642</v>
      </c>
      <c r="H28" s="10">
        <f>'plot sample size'!B28</f>
        <v>516.7110678403792</v>
      </c>
    </row>
    <row r="29" spans="1:8" x14ac:dyDescent="0.2">
      <c r="A29" s="39">
        <f>'plot ethical losses'!B29</f>
        <v>0.78300925925925968</v>
      </c>
      <c r="B29" s="37">
        <f>'plot p-value'!B29</f>
        <v>6.6835720417319263E-4</v>
      </c>
      <c r="C29" s="37"/>
      <c r="D29" s="39">
        <f t="shared" si="0"/>
        <v>0.78300925925925968</v>
      </c>
      <c r="E29" s="6">
        <f>'plot RR'!B29</f>
        <v>0.14727134703517339</v>
      </c>
      <c r="F29" s="6"/>
      <c r="G29" s="39">
        <f t="shared" si="1"/>
        <v>0.78300925925925968</v>
      </c>
      <c r="H29" s="10">
        <f>'plot sample size'!B29</f>
        <v>556.45807305887001</v>
      </c>
    </row>
    <row r="30" spans="1:8" x14ac:dyDescent="0.2">
      <c r="A30" s="39">
        <f>'plot ethical losses'!B30</f>
        <v>0.79970085470085517</v>
      </c>
      <c r="B30" s="37">
        <f>'plot p-value'!B30</f>
        <v>1.0801712341547887E-3</v>
      </c>
      <c r="C30" s="37"/>
      <c r="D30" s="39">
        <f t="shared" si="0"/>
        <v>0.79970085470085517</v>
      </c>
      <c r="E30" s="6">
        <f>'plot RR'!B30</f>
        <v>0.16249850424793624</v>
      </c>
      <c r="F30" s="6"/>
      <c r="G30" s="39">
        <f t="shared" si="1"/>
        <v>0.79970085470085517</v>
      </c>
      <c r="H30" s="10">
        <f>'plot sample size'!B30</f>
        <v>602.82957914710926</v>
      </c>
    </row>
    <row r="31" spans="1:8" x14ac:dyDescent="0.2">
      <c r="A31" s="39">
        <f>'plot ethical losses'!B31</f>
        <v>0.81639245014245043</v>
      </c>
      <c r="B31" s="37">
        <f>'plot p-value'!B31</f>
        <v>1.7504069548280319E-3</v>
      </c>
      <c r="C31" s="37"/>
      <c r="D31" s="39">
        <f t="shared" si="0"/>
        <v>0.81639245014245043</v>
      </c>
      <c r="E31" s="6">
        <f>'plot RR'!B31</f>
        <v>0.17980760011505689</v>
      </c>
      <c r="F31" s="6"/>
      <c r="G31" s="39">
        <f t="shared" si="1"/>
        <v>0.81639245014245043</v>
      </c>
      <c r="H31" s="10">
        <f>'plot sample size'!B31</f>
        <v>657.63226816048302</v>
      </c>
    </row>
    <row r="32" spans="1:8" x14ac:dyDescent="0.2">
      <c r="A32" s="39">
        <f>'plot ethical losses'!B32</f>
        <v>0.83308404558404603</v>
      </c>
      <c r="B32" s="37">
        <f>'plot p-value'!B32</f>
        <v>2.8454157014544761E-3</v>
      </c>
      <c r="C32" s="37"/>
      <c r="D32" s="39">
        <f t="shared" si="0"/>
        <v>0.83308404558404603</v>
      </c>
      <c r="E32" s="6">
        <f>'plot RR'!B32</f>
        <v>0.19965694682675872</v>
      </c>
      <c r="F32" s="6"/>
      <c r="G32" s="39">
        <f t="shared" si="1"/>
        <v>0.83308404558404603</v>
      </c>
      <c r="H32" s="10">
        <f>'plot sample size'!B32</f>
        <v>723.39549497653161</v>
      </c>
    </row>
    <row r="33" spans="1:8" x14ac:dyDescent="0.2">
      <c r="A33" s="39">
        <f>'plot ethical losses'!B33</f>
        <v>0.84977564102564151</v>
      </c>
      <c r="B33" s="37">
        <f>'plot p-value'!B33</f>
        <v>4.6426597730694829E-3</v>
      </c>
      <c r="C33" s="37"/>
      <c r="D33" s="39">
        <f t="shared" si="0"/>
        <v>0.84977564102564151</v>
      </c>
      <c r="E33" s="6">
        <f>'plot RR'!B33</f>
        <v>0.22265003146866158</v>
      </c>
      <c r="F33" s="6"/>
      <c r="G33" s="39">
        <f t="shared" si="1"/>
        <v>0.84977564102564151</v>
      </c>
      <c r="H33" s="10">
        <f>'plot sample size'!B33</f>
        <v>803.77277219614643</v>
      </c>
    </row>
    <row r="34" spans="1:8" x14ac:dyDescent="0.2">
      <c r="A34" s="39">
        <f>'plot ethical losses'!B34</f>
        <v>0.86646723646723689</v>
      </c>
      <c r="B34" s="37">
        <f>'plot p-value'!B34</f>
        <v>7.609166091419697E-3</v>
      </c>
      <c r="C34" s="37"/>
      <c r="D34" s="39">
        <f t="shared" si="0"/>
        <v>0.86646723646723689</v>
      </c>
      <c r="E34" s="6">
        <f>'plot RR'!B34</f>
        <v>0.24959794146027736</v>
      </c>
      <c r="F34" s="6"/>
      <c r="G34" s="39">
        <f t="shared" si="1"/>
        <v>0.86646723646723689</v>
      </c>
      <c r="H34" s="10">
        <f>'plot sample size'!B34</f>
        <v>904.24436872066485</v>
      </c>
    </row>
    <row r="35" spans="1:8" x14ac:dyDescent="0.2">
      <c r="A35" s="39">
        <f>'plot ethical losses'!B35</f>
        <v>0.88315883190883238</v>
      </c>
      <c r="B35" s="37">
        <f>'plot p-value'!B35</f>
        <v>1.2540367040149597E-2</v>
      </c>
      <c r="C35" s="37"/>
      <c r="D35" s="39">
        <f t="shared" si="0"/>
        <v>0.88315883190883238</v>
      </c>
      <c r="E35" s="6">
        <f>'plot RR'!B35</f>
        <v>0.2816170325078089</v>
      </c>
      <c r="F35" s="6"/>
      <c r="G35" s="39">
        <f t="shared" si="1"/>
        <v>0.88315883190883238</v>
      </c>
      <c r="H35" s="10">
        <f>'plot sample size'!B35</f>
        <v>1033.4221356807604</v>
      </c>
    </row>
    <row r="36" spans="1:8" x14ac:dyDescent="0.2">
      <c r="A36" s="39">
        <f>'plot ethical losses'!B36</f>
        <v>0.89985042735042764</v>
      </c>
      <c r="B36" s="37">
        <f>'plot p-value'!B36</f>
        <v>2.0812565955518475E-2</v>
      </c>
      <c r="C36" s="37"/>
      <c r="D36" s="39">
        <f t="shared" si="0"/>
        <v>0.89985042735042764</v>
      </c>
      <c r="E36" s="6">
        <f>'plot RR'!B36</f>
        <v>0.32028746236768102</v>
      </c>
      <c r="F36" s="6"/>
      <c r="G36" s="39">
        <f t="shared" si="1"/>
        <v>0.89985042735042764</v>
      </c>
      <c r="H36" s="10">
        <f>'plot sample size'!B36</f>
        <v>1205.6591582942212</v>
      </c>
    </row>
    <row r="37" spans="1:8" x14ac:dyDescent="0.2">
      <c r="A37" s="39">
        <f>'plot ethical losses'!B37</f>
        <v>0.91654202279202324</v>
      </c>
      <c r="B37" s="37">
        <f>'plot p-value'!B37</f>
        <v>3.4860063657734454E-2</v>
      </c>
      <c r="C37" s="37"/>
      <c r="D37" s="39">
        <f t="shared" si="0"/>
        <v>0.91654202279202324</v>
      </c>
      <c r="E37" s="6">
        <f>'plot RR'!B37</f>
        <v>0.36792197236521396</v>
      </c>
      <c r="F37" s="6"/>
      <c r="G37" s="39">
        <f t="shared" si="1"/>
        <v>0.91654202279202324</v>
      </c>
      <c r="H37" s="10">
        <f>'plot sample size'!B37</f>
        <v>1446.7909899530664</v>
      </c>
    </row>
    <row r="38" spans="1:8" x14ac:dyDescent="0.2">
      <c r="A38" s="39">
        <f>'plot ethical losses'!B38</f>
        <v>0.93323361823361861</v>
      </c>
      <c r="B38" s="37">
        <f>'plot p-value'!B38</f>
        <v>5.9130251998052503E-2</v>
      </c>
      <c r="C38" s="37"/>
      <c r="D38" s="39">
        <f t="shared" si="0"/>
        <v>0.93323361823361861</v>
      </c>
      <c r="E38" s="6">
        <f>'plot RR'!B38</f>
        <v>0.42804608972787611</v>
      </c>
      <c r="F38" s="6"/>
      <c r="G38" s="39">
        <f t="shared" si="1"/>
        <v>0.93323361823361861</v>
      </c>
      <c r="H38" s="10">
        <f>'plot sample size'!B38</f>
        <v>1808.4887374413349</v>
      </c>
    </row>
    <row r="39" spans="1:8" x14ac:dyDescent="0.2">
      <c r="A39" s="39">
        <f>'plot ethical losses'!B39</f>
        <v>0.94992521367521399</v>
      </c>
      <c r="B39" s="37">
        <f>'plot p-value'!B39</f>
        <v>0.10217832656612061</v>
      </c>
      <c r="C39" s="37"/>
      <c r="D39" s="39">
        <f t="shared" si="0"/>
        <v>0.94992521367521399</v>
      </c>
      <c r="E39" s="6">
        <f>'plot RR'!B39</f>
        <v>0.50631304225153628</v>
      </c>
      <c r="F39" s="6"/>
      <c r="G39" s="39">
        <f t="shared" si="1"/>
        <v>0.94992521367521399</v>
      </c>
      <c r="H39" s="10">
        <f>'plot sample size'!B39</f>
        <v>2411.3183165884516</v>
      </c>
    </row>
    <row r="40" spans="1:8" x14ac:dyDescent="0.2">
      <c r="A40" s="39">
        <f>'plot ethical losses'!B40</f>
        <v>0.96661680911680969</v>
      </c>
      <c r="B40" s="37">
        <f>'plot p-value'!B40</f>
        <v>0.1820503199984306</v>
      </c>
      <c r="C40" s="37"/>
      <c r="D40" s="39">
        <f t="shared" si="0"/>
        <v>0.96661680911680969</v>
      </c>
      <c r="E40" s="6">
        <f>'plot RR'!B40</f>
        <v>0.61239408539624818</v>
      </c>
      <c r="F40" s="6"/>
      <c r="G40" s="39">
        <f t="shared" si="1"/>
        <v>0.96661680911680969</v>
      </c>
      <c r="H40" s="10">
        <f>'plot sample size'!B40</f>
        <v>3616.9774748826917</v>
      </c>
    </row>
    <row r="41" spans="1:8" x14ac:dyDescent="0.2">
      <c r="A41" s="39">
        <f>'plot ethical losses'!B41</f>
        <v>0.98330840455840496</v>
      </c>
      <c r="B41" s="37">
        <f>'plot p-value'!B41</f>
        <v>0.34536804989909387</v>
      </c>
      <c r="C41" s="37"/>
      <c r="D41" s="39">
        <f t="shared" si="0"/>
        <v>0.98330840455840496</v>
      </c>
      <c r="E41" s="6">
        <f>'plot RR'!B41</f>
        <v>0.76431962824528166</v>
      </c>
      <c r="F41" s="6"/>
      <c r="G41" s="39">
        <f t="shared" si="1"/>
        <v>0.98330840455840496</v>
      </c>
      <c r="H41" s="10">
        <f>'plot sample size'!B41</f>
        <v>7233.9549497654707</v>
      </c>
    </row>
    <row r="42" spans="1:8" x14ac:dyDescent="0.2">
      <c r="B42" s="37"/>
      <c r="C42" s="37"/>
      <c r="E42" s="6"/>
      <c r="F42" s="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RowHeight="16" x14ac:dyDescent="0.2"/>
  <sheetData/>
  <pageMargins left="0.75" right="0.75" top="1" bottom="1" header="0.5" footer="0.5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AF20EA-7170-5348-9424-0CA043F6021D}">
  <dimension ref="A1:F10"/>
  <sheetViews>
    <sheetView zoomScale="150" zoomScaleNormal="150" workbookViewId="0">
      <selection activeCell="F10" sqref="F10"/>
    </sheetView>
  </sheetViews>
  <sheetFormatPr baseColWidth="10" defaultRowHeight="21" x14ac:dyDescent="0.2"/>
  <cols>
    <col min="1" max="1" width="5.33203125" style="50" customWidth="1"/>
    <col min="2" max="2" width="21.6640625" style="47" customWidth="1"/>
    <col min="3" max="3" width="28" style="51" customWidth="1"/>
    <col min="4" max="4" width="10" style="48" customWidth="1"/>
    <col min="5" max="6" width="10.83203125" style="47"/>
  </cols>
  <sheetData>
    <row r="1" spans="1:6" x14ac:dyDescent="0.2">
      <c r="D1" s="70" t="s">
        <v>43</v>
      </c>
      <c r="E1" s="70"/>
      <c r="F1" s="49" t="s">
        <v>45</v>
      </c>
    </row>
    <row r="3" spans="1:6" ht="16" x14ac:dyDescent="0.2">
      <c r="A3" s="71" t="s">
        <v>44</v>
      </c>
      <c r="B3" s="71"/>
    </row>
    <row r="4" spans="1:6" ht="85" x14ac:dyDescent="0.2">
      <c r="A4" s="52">
        <v>1</v>
      </c>
      <c r="B4" s="53" t="s">
        <v>42</v>
      </c>
      <c r="C4" s="57" t="s">
        <v>39</v>
      </c>
      <c r="D4" s="54" t="s">
        <v>40</v>
      </c>
      <c r="E4" s="55">
        <f>(preliminaries!F2-preliminaries!G2)</f>
        <v>2.5761947826799483E-2</v>
      </c>
      <c r="F4" s="55"/>
    </row>
    <row r="5" spans="1:6" x14ac:dyDescent="0.2">
      <c r="A5" s="52"/>
      <c r="B5" s="55"/>
      <c r="C5" s="56"/>
      <c r="D5" s="54" t="s">
        <v>41</v>
      </c>
      <c r="E5" s="55">
        <f>preliminaries!D5</f>
        <v>7020</v>
      </c>
      <c r="F5" s="57">
        <f>E4*E5</f>
        <v>180.84887374413236</v>
      </c>
    </row>
    <row r="6" spans="1:6" ht="34" x14ac:dyDescent="0.2">
      <c r="A6" s="58">
        <v>2</v>
      </c>
      <c r="B6" s="59" t="s">
        <v>47</v>
      </c>
      <c r="C6" s="60" t="s">
        <v>48</v>
      </c>
      <c r="D6" s="61"/>
      <c r="E6" s="62"/>
      <c r="F6" s="60">
        <f>E4*preliminaries!C5</f>
        <v>120.74624946420919</v>
      </c>
    </row>
    <row r="8" spans="1:6" x14ac:dyDescent="0.2">
      <c r="B8" s="49" t="s">
        <v>49</v>
      </c>
    </row>
    <row r="9" spans="1:6" x14ac:dyDescent="0.2">
      <c r="A9" s="63">
        <v>3</v>
      </c>
      <c r="B9" s="64"/>
      <c r="C9" s="67" t="s">
        <v>50</v>
      </c>
      <c r="D9" s="65" t="s">
        <v>46</v>
      </c>
      <c r="E9" s="66">
        <f>preliminaries!B3+preliminaries!C3</f>
        <v>463</v>
      </c>
      <c r="F9" s="68"/>
    </row>
    <row r="10" spans="1:6" x14ac:dyDescent="0.2">
      <c r="A10" s="63"/>
      <c r="B10" s="64"/>
      <c r="C10" s="69"/>
      <c r="D10" s="65" t="s">
        <v>51</v>
      </c>
      <c r="E10" s="64">
        <f>E4*preliminaries!B5</f>
        <v>60.102624279923198</v>
      </c>
      <c r="F10" s="68">
        <f>E9-E10</f>
        <v>402.89737572007681</v>
      </c>
    </row>
  </sheetData>
  <mergeCells count="2">
    <mergeCell ref="D1:E1"/>
    <mergeCell ref="A3:B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4"/>
  <sheetViews>
    <sheetView topLeftCell="A16" workbookViewId="0">
      <selection activeCell="E42" sqref="E42"/>
    </sheetView>
  </sheetViews>
  <sheetFormatPr baseColWidth="10" defaultRowHeight="16" x14ac:dyDescent="0.2"/>
  <cols>
    <col min="15" max="15" width="7.83203125" customWidth="1"/>
    <col min="16" max="16" width="11.1640625" bestFit="1" customWidth="1"/>
  </cols>
  <sheetData>
    <row r="1" spans="2:17" s="11" customFormat="1" ht="68" x14ac:dyDescent="0.2">
      <c r="B1" s="11" t="s">
        <v>22</v>
      </c>
      <c r="C1" s="11" t="s">
        <v>23</v>
      </c>
      <c r="D1" s="11" t="s">
        <v>33</v>
      </c>
      <c r="E1" s="11" t="s">
        <v>34</v>
      </c>
      <c r="F1" s="11" t="s">
        <v>25</v>
      </c>
      <c r="G1" s="11" t="s">
        <v>26</v>
      </c>
      <c r="H1" s="11" t="s">
        <v>27</v>
      </c>
      <c r="I1" s="11" t="s">
        <v>28</v>
      </c>
      <c r="J1" s="11" t="s">
        <v>11</v>
      </c>
      <c r="K1" s="11" t="s">
        <v>12</v>
      </c>
      <c r="L1" s="11" t="s">
        <v>5</v>
      </c>
      <c r="M1" s="11" t="s">
        <v>13</v>
      </c>
      <c r="N1" s="11" t="s">
        <v>30</v>
      </c>
      <c r="O1" s="11" t="s">
        <v>29</v>
      </c>
      <c r="P1" s="11" t="s">
        <v>35</v>
      </c>
      <c r="Q1" s="11" t="s">
        <v>24</v>
      </c>
    </row>
    <row r="2" spans="2:17" x14ac:dyDescent="0.2">
      <c r="B2">
        <v>1</v>
      </c>
      <c r="C2">
        <f>1/B2</f>
        <v>1</v>
      </c>
      <c r="D2">
        <f>C2*preliminaries!$C$13</f>
        <v>120.7462494642092</v>
      </c>
      <c r="E2">
        <f>D2*(preliminaries!$B$5/preliminaries!$C$5)</f>
        <v>60.102624279923205</v>
      </c>
      <c r="F2">
        <f>(D2-preliminaries!$C$13)*preliminaries!$F$2</f>
        <v>0</v>
      </c>
      <c r="G2">
        <f t="shared" ref="G2:G42" si="0">D2-F2</f>
        <v>120.7462494642092</v>
      </c>
      <c r="H2">
        <f>preliminaries!$B$20+(E2-preliminaries!$B$20)*preliminaries!$F$2</f>
        <v>60.102624279923205</v>
      </c>
      <c r="I2">
        <f t="shared" ref="I2:I42" si="1">E2-H2</f>
        <v>0</v>
      </c>
      <c r="J2">
        <f>H2/(H2+I2)</f>
        <v>1</v>
      </c>
      <c r="K2">
        <f>F2/(F2+G2)</f>
        <v>0</v>
      </c>
      <c r="L2">
        <f>K2/J2</f>
        <v>0</v>
      </c>
      <c r="M2" s="6">
        <f>(SUM(F2:I2))-preliminaries!$C$13</f>
        <v>60.102624279923191</v>
      </c>
      <c r="N2" s="27">
        <f t="shared" ref="N2:N42" si="2">M2/(D2+E2)</f>
        <v>0.33233618233618228</v>
      </c>
      <c r="O2" s="6">
        <f t="shared" ref="O2:O42" si="3">4*(H2-((H2+F2)/(E2+D2))*(H2+I2))^2/(SUM(D2:E2))</f>
        <v>35.616130662708535</v>
      </c>
      <c r="P2">
        <f>CHIDIST(O2,1)</f>
        <v>2.4028953801386042E-9</v>
      </c>
      <c r="Q2">
        <f xml:space="preserve"> 0.025</f>
        <v>2.5000000000000001E-2</v>
      </c>
    </row>
    <row r="3" spans="2:17" x14ac:dyDescent="0.2">
      <c r="B3">
        <f t="shared" ref="B3:B41" si="4">B2-$Q$2</f>
        <v>0.97499999999999998</v>
      </c>
      <c r="C3">
        <f t="shared" ref="C3:C44" si="5">1/B3</f>
        <v>1.0256410256410258</v>
      </c>
      <c r="D3">
        <f>C3*preliminaries!$C$13</f>
        <v>123.84230714277868</v>
      </c>
      <c r="E3">
        <f>D3*(preliminaries!$B$5/preliminaries!$C$5)</f>
        <v>61.643717210177655</v>
      </c>
      <c r="F3">
        <f>(D3-preliminaries!$C$13)*preliminaries!$F$2</f>
        <v>0.25745186011250709</v>
      </c>
      <c r="G3">
        <f t="shared" si="0"/>
        <v>123.58485528266617</v>
      </c>
      <c r="H3">
        <f>preliminaries!$B$20+(E3-preliminaries!$B$20)*preliminaries!$F$2</f>
        <v>60.230773456292411</v>
      </c>
      <c r="I3">
        <f t="shared" si="1"/>
        <v>1.4129437538852443</v>
      </c>
      <c r="J3">
        <f t="shared" ref="J3:J5" si="6">H3/(H3+I3)</f>
        <v>0.97707886840977265</v>
      </c>
      <c r="K3">
        <f t="shared" ref="K3:K5" si="7">F3/(F3+G3)</f>
        <v>2.0788684097728331E-3</v>
      </c>
      <c r="L3">
        <f t="shared" ref="L3:L5" si="8">K3/J3</f>
        <v>2.1276362400061504E-3</v>
      </c>
      <c r="M3" s="6">
        <f>(SUM(F3:I3))-preliminaries!$C$13</f>
        <v>64.739774888747149</v>
      </c>
      <c r="N3" s="27">
        <f t="shared" si="2"/>
        <v>0.34902777777777788</v>
      </c>
      <c r="O3" s="6">
        <f t="shared" si="3"/>
        <v>34.725727396140812</v>
      </c>
      <c r="P3">
        <f t="shared" ref="P3:P42" si="9">CHIDIST(O3,1)</f>
        <v>3.7958193587802203E-9</v>
      </c>
    </row>
    <row r="4" spans="2:17" x14ac:dyDescent="0.2">
      <c r="B4">
        <f t="shared" si="4"/>
        <v>0.95</v>
      </c>
      <c r="C4">
        <f t="shared" si="5"/>
        <v>1.0526315789473684</v>
      </c>
      <c r="D4">
        <f>C4*preliminaries!$C$13</f>
        <v>127.10131522548336</v>
      </c>
      <c r="E4">
        <f>D4*(preliminaries!$B$5/preliminaries!$C$5)</f>
        <v>63.265920294656006</v>
      </c>
      <c r="F4">
        <f>(D4-preliminaries!$C$13)*preliminaries!$F$2</f>
        <v>0.52845381812566972</v>
      </c>
      <c r="G4">
        <f t="shared" si="0"/>
        <v>126.57286140735769</v>
      </c>
      <c r="H4">
        <f>preliminaries!$B$20+(E4-preliminaries!$B$20)*preliminaries!$F$2</f>
        <v>60.365667326154735</v>
      </c>
      <c r="I4">
        <f t="shared" si="1"/>
        <v>2.9002529685012703</v>
      </c>
      <c r="J4">
        <f t="shared" si="6"/>
        <v>0.95415773681954563</v>
      </c>
      <c r="K4">
        <f t="shared" si="7"/>
        <v>4.1577368195456453E-3</v>
      </c>
      <c r="L4">
        <f t="shared" si="8"/>
        <v>4.3574942162125695E-3</v>
      </c>
      <c r="M4" s="6">
        <f>(SUM(F4:I4))-preliminaries!$C$13</f>
        <v>69.62098605593016</v>
      </c>
      <c r="N4" s="27">
        <f t="shared" si="2"/>
        <v>0.3657193732193732</v>
      </c>
      <c r="O4" s="6">
        <f t="shared" si="3"/>
        <v>33.83532412957311</v>
      </c>
      <c r="P4">
        <f t="shared" si="9"/>
        <v>5.9979848329532207E-9</v>
      </c>
    </row>
    <row r="5" spans="2:17" x14ac:dyDescent="0.2">
      <c r="B5">
        <f t="shared" si="4"/>
        <v>0.92499999999999993</v>
      </c>
      <c r="C5">
        <f t="shared" si="5"/>
        <v>1.0810810810810811</v>
      </c>
      <c r="D5">
        <f>C5*preliminaries!$C$13</f>
        <v>130.53648590725319</v>
      </c>
      <c r="E5">
        <f>D5*(preliminaries!$B$5/preliminaries!$C$5)</f>
        <v>64.975810032349415</v>
      </c>
      <c r="F5">
        <f>(D5-preliminaries!$C$13)*preliminaries!$F$2</f>
        <v>0.81410453062603305</v>
      </c>
      <c r="G5">
        <f t="shared" si="0"/>
        <v>129.72238137662717</v>
      </c>
      <c r="H5">
        <f>preliminaries!$B$20+(E5-preliminaries!$B$20)*preliminaries!$F$2</f>
        <v>60.507852756550157</v>
      </c>
      <c r="I5">
        <f t="shared" si="1"/>
        <v>4.4679572757992574</v>
      </c>
      <c r="J5">
        <f t="shared" si="6"/>
        <v>0.93123660522931839</v>
      </c>
      <c r="K5">
        <f t="shared" si="7"/>
        <v>6.2366052293184775E-3</v>
      </c>
      <c r="L5">
        <f t="shared" si="8"/>
        <v>6.6971220786394064E-3</v>
      </c>
      <c r="M5" s="6">
        <f>(SUM(F5:I5))-preliminaries!$C$13</f>
        <v>74.766046475393409</v>
      </c>
      <c r="N5" s="27">
        <f t="shared" si="2"/>
        <v>0.38241096866096869</v>
      </c>
      <c r="O5" s="6">
        <f t="shared" si="3"/>
        <v>32.944920863005393</v>
      </c>
      <c r="P5">
        <f t="shared" si="9"/>
        <v>9.4807111757635514E-9</v>
      </c>
    </row>
    <row r="6" spans="2:17" x14ac:dyDescent="0.2">
      <c r="B6">
        <f t="shared" si="4"/>
        <v>0.89999999999999991</v>
      </c>
      <c r="C6">
        <f t="shared" si="5"/>
        <v>1.1111111111111112</v>
      </c>
      <c r="D6">
        <f>C6*preliminaries!$C$13</f>
        <v>134.16249940467691</v>
      </c>
      <c r="E6">
        <f>D6*(preliminaries!$B$5/preliminaries!$C$5)</f>
        <v>66.780693644359133</v>
      </c>
      <c r="F6">
        <f>(D6-preliminaries!$C$13)*preliminaries!$F$2</f>
        <v>1.1156247271541944</v>
      </c>
      <c r="G6">
        <f t="shared" si="0"/>
        <v>133.04687467752271</v>
      </c>
      <c r="H6">
        <f>preliminaries!$B$20+(E6-preliminaries!$B$20)*preliminaries!$F$2</f>
        <v>60.657937377523105</v>
      </c>
      <c r="I6">
        <f t="shared" si="1"/>
        <v>6.1227562668360278</v>
      </c>
      <c r="J6">
        <f t="shared" ref="J6:J42" si="10">H6/(H6+I6)</f>
        <v>0.90831547363909104</v>
      </c>
      <c r="K6">
        <f t="shared" ref="K6:K42" si="11">F6/(F6+G6)</f>
        <v>8.3154736390913097E-3</v>
      </c>
      <c r="L6">
        <f t="shared" ref="L6:L42" si="12">K6/J6</f>
        <v>9.1548298806097082E-3</v>
      </c>
      <c r="M6" s="6">
        <f>(SUM(F6:I6))-preliminaries!$C$13</f>
        <v>80.19694358482684</v>
      </c>
      <c r="N6" s="27">
        <f t="shared" si="2"/>
        <v>0.39910256410256423</v>
      </c>
      <c r="O6" s="6">
        <f t="shared" si="3"/>
        <v>32.054517596437677</v>
      </c>
      <c r="P6">
        <f t="shared" si="9"/>
        <v>1.4990609302000213E-8</v>
      </c>
    </row>
    <row r="7" spans="2:17" x14ac:dyDescent="0.2">
      <c r="B7">
        <f t="shared" si="4"/>
        <v>0.87499999999999989</v>
      </c>
      <c r="C7">
        <f t="shared" si="5"/>
        <v>1.142857142857143</v>
      </c>
      <c r="D7">
        <f>C7*preliminaries!$C$13</f>
        <v>137.99571367338197</v>
      </c>
      <c r="E7">
        <f>D7*(preliminaries!$B$5/preliminaries!$C$5)</f>
        <v>68.6887134627694</v>
      </c>
      <c r="F7">
        <f>(D7-preliminaries!$C$13)*preliminaries!$F$2</f>
        <v>1.4343746491982501</v>
      </c>
      <c r="G7">
        <f t="shared" si="0"/>
        <v>136.56133902418372</v>
      </c>
      <c r="H7">
        <f>preliminaries!$B$20+(E7-preliminaries!$B$20)*preliminaries!$F$2</f>
        <v>60.816598262551651</v>
      </c>
      <c r="I7">
        <f t="shared" si="1"/>
        <v>7.872115200217749</v>
      </c>
      <c r="J7">
        <f t="shared" si="10"/>
        <v>0.88539434204886391</v>
      </c>
      <c r="K7">
        <f t="shared" si="11"/>
        <v>1.0394342048864138E-2</v>
      </c>
      <c r="L7">
        <f t="shared" si="12"/>
        <v>1.1739788199697447E-2</v>
      </c>
      <c r="M7" s="6">
        <f>(SUM(F7:I7))-preliminaries!$C$13</f>
        <v>85.938177671942185</v>
      </c>
      <c r="N7" s="27">
        <f t="shared" si="2"/>
        <v>0.41579415954415971</v>
      </c>
      <c r="O7" s="6">
        <f t="shared" si="3"/>
        <v>31.164114329869957</v>
      </c>
      <c r="P7">
        <f t="shared" si="9"/>
        <v>2.3710905127709906E-8</v>
      </c>
    </row>
    <row r="8" spans="2:17" x14ac:dyDescent="0.2">
      <c r="B8">
        <f t="shared" si="4"/>
        <v>0.84999999999999987</v>
      </c>
      <c r="C8">
        <f t="shared" si="5"/>
        <v>1.1764705882352944</v>
      </c>
      <c r="D8">
        <f>C8*preliminaries!$C$13</f>
        <v>142.05441113436379</v>
      </c>
      <c r="E8">
        <f>D8*(preliminaries!$B$5/preliminaries!$C$5)</f>
        <v>70.708969741086136</v>
      </c>
      <c r="F8">
        <f>(D8-preliminaries!$C$13)*preliminaries!$F$2</f>
        <v>1.7718745666566611</v>
      </c>
      <c r="G8">
        <f t="shared" si="0"/>
        <v>140.28253656770713</v>
      </c>
      <c r="H8">
        <f>preliminaries!$B$20+(E8-preliminaries!$B$20)*preliminaries!$F$2</f>
        <v>60.984592140817163</v>
      </c>
      <c r="I8">
        <f t="shared" si="1"/>
        <v>9.7243776002689728</v>
      </c>
      <c r="J8">
        <f t="shared" si="10"/>
        <v>0.86247321045863679</v>
      </c>
      <c r="K8">
        <f t="shared" si="11"/>
        <v>1.247321045863696E-2</v>
      </c>
      <c r="L8">
        <f t="shared" si="12"/>
        <v>1.4462142484407242E-2</v>
      </c>
      <c r="M8" s="6">
        <f>(SUM(F8:I8))-preliminaries!$C$13</f>
        <v>92.01713141124074</v>
      </c>
      <c r="N8" s="27">
        <f t="shared" si="2"/>
        <v>0.4324857549857552</v>
      </c>
      <c r="O8" s="6">
        <f t="shared" si="3"/>
        <v>30.273711063302251</v>
      </c>
      <c r="P8">
        <f t="shared" si="9"/>
        <v>3.7517661167898454E-8</v>
      </c>
    </row>
    <row r="9" spans="2:17" x14ac:dyDescent="0.2">
      <c r="B9">
        <f t="shared" si="4"/>
        <v>0.82499999999999984</v>
      </c>
      <c r="C9">
        <f t="shared" si="5"/>
        <v>1.2121212121212124</v>
      </c>
      <c r="D9">
        <f>C9*preliminaries!$C$13</f>
        <v>146.35909025964756</v>
      </c>
      <c r="E9">
        <f>D9*(preliminaries!$B$5/preliminaries!$C$5)</f>
        <v>72.851665793846337</v>
      </c>
      <c r="F9">
        <f>(D9-preliminaries!$C$13)*preliminaries!$F$2</f>
        <v>2.129829024567099</v>
      </c>
      <c r="G9">
        <f t="shared" si="0"/>
        <v>144.22926123508046</v>
      </c>
      <c r="H9">
        <f>preliminaries!$B$20+(E9-preliminaries!$B$20)*preliminaries!$F$2</f>
        <v>61.162767466250287</v>
      </c>
      <c r="I9">
        <f t="shared" si="1"/>
        <v>11.68889832759605</v>
      </c>
      <c r="J9">
        <f t="shared" si="10"/>
        <v>0.83955207886840943</v>
      </c>
      <c r="K9">
        <f t="shared" si="11"/>
        <v>1.4552078868409795E-2</v>
      </c>
      <c r="L9">
        <f t="shared" si="12"/>
        <v>1.7333146131951482E-2</v>
      </c>
      <c r="M9" s="6">
        <f>(SUM(F9:I9))-preliminaries!$C$13</f>
        <v>98.464506589284724</v>
      </c>
      <c r="N9" s="27">
        <f t="shared" si="2"/>
        <v>0.44917735042735074</v>
      </c>
      <c r="O9" s="6">
        <f t="shared" si="3"/>
        <v>29.383307796734531</v>
      </c>
      <c r="P9">
        <f t="shared" si="9"/>
        <v>5.9386969532098826E-8</v>
      </c>
    </row>
    <row r="10" spans="2:17" x14ac:dyDescent="0.2">
      <c r="B10">
        <f t="shared" si="4"/>
        <v>0.79999999999999982</v>
      </c>
      <c r="C10">
        <f t="shared" si="5"/>
        <v>1.2500000000000002</v>
      </c>
      <c r="D10">
        <f>C10*preliminaries!$C$13</f>
        <v>150.93281183026153</v>
      </c>
      <c r="E10">
        <f>D10*(preliminaries!$B$5/preliminaries!$C$5)</f>
        <v>75.128280349904031</v>
      </c>
      <c r="F10">
        <f>(D10-preliminaries!$C$13)*preliminaries!$F$2</f>
        <v>2.5101556360969361</v>
      </c>
      <c r="G10">
        <f t="shared" si="0"/>
        <v>148.4226561941646</v>
      </c>
      <c r="H10">
        <f>preliminaries!$B$20+(E10-preliminaries!$B$20)*preliminaries!$F$2</f>
        <v>61.352078749522981</v>
      </c>
      <c r="I10">
        <f t="shared" si="1"/>
        <v>13.77620160038105</v>
      </c>
      <c r="J10">
        <f t="shared" si="10"/>
        <v>0.81663094727818231</v>
      </c>
      <c r="K10">
        <f t="shared" si="11"/>
        <v>1.6630947278182612E-2</v>
      </c>
      <c r="L10">
        <f t="shared" si="12"/>
        <v>2.036531597732524E-2</v>
      </c>
      <c r="M10" s="6">
        <f>(SUM(F10:I10))-preliminaries!$C$13</f>
        <v>105.31484271595636</v>
      </c>
      <c r="N10" s="27">
        <f t="shared" si="2"/>
        <v>0.46586894586894601</v>
      </c>
      <c r="O10" s="6">
        <f t="shared" si="3"/>
        <v>28.492904530166818</v>
      </c>
      <c r="P10">
        <f t="shared" si="9"/>
        <v>9.4042497297820906E-8</v>
      </c>
    </row>
    <row r="11" spans="2:17" x14ac:dyDescent="0.2">
      <c r="B11">
        <f t="shared" si="4"/>
        <v>0.7749999999999998</v>
      </c>
      <c r="C11">
        <f t="shared" si="5"/>
        <v>1.2903225806451617</v>
      </c>
      <c r="D11">
        <f>C11*preliminaries!$C$13</f>
        <v>155.80161221188288</v>
      </c>
      <c r="E11">
        <f>D11*(preliminaries!$B$5/preliminaries!$C$5)</f>
        <v>77.551773264417065</v>
      </c>
      <c r="F11">
        <f>(D11-preliminaries!$C$13)*preliminaries!$F$2</f>
        <v>2.9150194483706362</v>
      </c>
      <c r="G11">
        <f t="shared" si="0"/>
        <v>152.88659276351225</v>
      </c>
      <c r="H11">
        <f>preliminaries!$B$20+(E11-preliminaries!$B$20)*preliminaries!$F$2</f>
        <v>61.553603663974556</v>
      </c>
      <c r="I11">
        <f t="shared" si="1"/>
        <v>15.998169600442509</v>
      </c>
      <c r="J11">
        <f t="shared" si="10"/>
        <v>0.79370981568795518</v>
      </c>
      <c r="K11">
        <f t="shared" si="11"/>
        <v>1.870981568795544E-2</v>
      </c>
      <c r="L11">
        <f t="shared" si="12"/>
        <v>2.3572614724108633E-2</v>
      </c>
      <c r="M11" s="6">
        <f>(SUM(F11:I11))-preliminaries!$C$13</f>
        <v>112.60713601209073</v>
      </c>
      <c r="N11" s="27">
        <f t="shared" si="2"/>
        <v>0.48256054131054144</v>
      </c>
      <c r="O11" s="6">
        <f t="shared" si="3"/>
        <v>27.602501263599098</v>
      </c>
      <c r="P11">
        <f t="shared" si="9"/>
        <v>1.4898598296455318E-7</v>
      </c>
    </row>
    <row r="12" spans="2:17" x14ac:dyDescent="0.2">
      <c r="B12">
        <f t="shared" si="4"/>
        <v>0.74999999999999978</v>
      </c>
      <c r="C12">
        <f t="shared" si="5"/>
        <v>1.3333333333333337</v>
      </c>
      <c r="D12">
        <f>C12*preliminaries!$C$13</f>
        <v>160.99499928561232</v>
      </c>
      <c r="E12">
        <f>D12*(preliminaries!$B$5/preliminaries!$C$5)</f>
        <v>80.136832373230973</v>
      </c>
      <c r="F12">
        <f>(D12-preliminaries!$C$13)*preliminaries!$F$2</f>
        <v>3.3468741814625829</v>
      </c>
      <c r="G12">
        <f t="shared" si="0"/>
        <v>157.64812510414973</v>
      </c>
      <c r="H12">
        <f>preliminaries!$B$20+(E12-preliminaries!$B$20)*preliminaries!$F$2</f>
        <v>61.768563572722911</v>
      </c>
      <c r="I12">
        <f t="shared" si="1"/>
        <v>18.368268800508062</v>
      </c>
      <c r="J12">
        <f t="shared" si="10"/>
        <v>0.77078868409772805</v>
      </c>
      <c r="K12">
        <f t="shared" si="11"/>
        <v>2.0788684097728268E-2</v>
      </c>
      <c r="L12">
        <f t="shared" si="12"/>
        <v>2.6970665925205094E-2</v>
      </c>
      <c r="M12" s="6">
        <f>(SUM(F12:I12))-preliminaries!$C$13</f>
        <v>120.38558219463408</v>
      </c>
      <c r="N12" s="27">
        <f t="shared" si="2"/>
        <v>0.49925213675213692</v>
      </c>
      <c r="O12" s="6">
        <f t="shared" si="3"/>
        <v>26.712097997031393</v>
      </c>
      <c r="P12">
        <f t="shared" si="9"/>
        <v>2.3613840280549688E-7</v>
      </c>
    </row>
    <row r="13" spans="2:17" x14ac:dyDescent="0.2">
      <c r="B13">
        <f t="shared" si="4"/>
        <v>0.72499999999999976</v>
      </c>
      <c r="C13">
        <f t="shared" si="5"/>
        <v>1.3793103448275867</v>
      </c>
      <c r="D13">
        <f>C13*preliminaries!$C$13</f>
        <v>166.5465509851162</v>
      </c>
      <c r="E13">
        <f>D13*(preliminaries!$B$5/preliminaries!$C$5)</f>
        <v>82.90017142058376</v>
      </c>
      <c r="F13">
        <f>(D13-preliminaries!$C$13)*preliminaries!$F$2</f>
        <v>3.8085119995953529</v>
      </c>
      <c r="G13">
        <f t="shared" si="0"/>
        <v>162.73803898552086</v>
      </c>
      <c r="H13">
        <f>preliminaries!$B$20+(E13-preliminaries!$B$20)*preliminaries!$F$2</f>
        <v>61.998348302764242</v>
      </c>
      <c r="I13">
        <f t="shared" si="1"/>
        <v>20.901823117819518</v>
      </c>
      <c r="J13">
        <f t="shared" si="10"/>
        <v>0.74786755250750081</v>
      </c>
      <c r="K13">
        <f t="shared" si="11"/>
        <v>2.2867552507501096E-2</v>
      </c>
      <c r="L13">
        <f t="shared" si="12"/>
        <v>3.0577008496797623E-2</v>
      </c>
      <c r="M13" s="6">
        <f>(SUM(F13:I13))-preliminaries!$C$13</f>
        <v>128.70047294149077</v>
      </c>
      <c r="N13" s="27">
        <f t="shared" si="2"/>
        <v>0.51594373219373235</v>
      </c>
      <c r="O13" s="6">
        <f t="shared" si="3"/>
        <v>25.821694730463676</v>
      </c>
      <c r="P13">
        <f t="shared" si="9"/>
        <v>3.7445583181650561E-7</v>
      </c>
    </row>
    <row r="14" spans="2:17" x14ac:dyDescent="0.2">
      <c r="B14">
        <f t="shared" si="4"/>
        <v>0.69999999999999973</v>
      </c>
      <c r="C14">
        <f t="shared" si="5"/>
        <v>1.428571428571429</v>
      </c>
      <c r="D14">
        <f>C14*preliminaries!$C$13</f>
        <v>172.49464209172748</v>
      </c>
      <c r="E14">
        <f>D14*(preliminaries!$B$5/preliminaries!$C$5)</f>
        <v>85.86089182846176</v>
      </c>
      <c r="F14">
        <f>(D14-preliminaries!$C$13)*preliminaries!$F$2</f>
        <v>4.3031239475947478</v>
      </c>
      <c r="G14">
        <f t="shared" si="0"/>
        <v>168.19151814413274</v>
      </c>
      <c r="H14">
        <f>preliminaries!$B$20+(E14-preliminaries!$B$20)*preliminaries!$F$2</f>
        <v>62.244546227808534</v>
      </c>
      <c r="I14">
        <f t="shared" si="1"/>
        <v>23.616345600653226</v>
      </c>
      <c r="J14">
        <f t="shared" si="10"/>
        <v>0.72494642091727357</v>
      </c>
      <c r="K14">
        <f t="shared" si="11"/>
        <v>2.4946420917273913E-2</v>
      </c>
      <c r="L14">
        <f t="shared" si="12"/>
        <v>3.4411399515165891E-2</v>
      </c>
      <c r="M14" s="6">
        <f>(SUM(F14:I14))-preliminaries!$C$13</f>
        <v>137.60928445598006</v>
      </c>
      <c r="N14" s="27">
        <f t="shared" si="2"/>
        <v>0.53263532763532784</v>
      </c>
      <c r="O14" s="6">
        <f t="shared" si="3"/>
        <v>24.931291463895963</v>
      </c>
      <c r="P14">
        <f t="shared" si="9"/>
        <v>5.9410257409931776E-7</v>
      </c>
    </row>
    <row r="15" spans="2:17" x14ac:dyDescent="0.2">
      <c r="B15">
        <f t="shared" si="4"/>
        <v>0.67499999999999971</v>
      </c>
      <c r="C15">
        <f t="shared" si="5"/>
        <v>1.4814814814814821</v>
      </c>
      <c r="D15">
        <f>C15*preliminaries!$C$13</f>
        <v>178.88333253956927</v>
      </c>
      <c r="E15">
        <f>D15*(preliminaries!$B$5/preliminaries!$C$5)</f>
        <v>89.040924859145534</v>
      </c>
      <c r="F15">
        <f>(D15-preliminaries!$C$13)*preliminaries!$F$2</f>
        <v>4.8343738176681752</v>
      </c>
      <c r="G15">
        <f t="shared" si="0"/>
        <v>174.0489587219011</v>
      </c>
      <c r="H15">
        <f>preliminaries!$B$20+(E15-preliminaries!$B$20)*preliminaries!$F$2</f>
        <v>62.508981036189439</v>
      </c>
      <c r="I15">
        <f t="shared" si="1"/>
        <v>26.531943822956094</v>
      </c>
      <c r="J15">
        <f t="shared" si="10"/>
        <v>0.70202528932704633</v>
      </c>
      <c r="K15">
        <f t="shared" si="11"/>
        <v>2.7025289327046745E-2</v>
      </c>
      <c r="L15">
        <f t="shared" si="12"/>
        <v>3.8496176331415194E-2</v>
      </c>
      <c r="M15" s="6">
        <f>(SUM(F15:I15))-preliminaries!$C$13</f>
        <v>147.17800793450556</v>
      </c>
      <c r="N15" s="27">
        <f t="shared" si="2"/>
        <v>0.5493269230769231</v>
      </c>
      <c r="O15" s="6">
        <f t="shared" si="3"/>
        <v>24.040888197328247</v>
      </c>
      <c r="P15">
        <f t="shared" si="9"/>
        <v>9.4311504766686552E-7</v>
      </c>
    </row>
    <row r="16" spans="2:17" x14ac:dyDescent="0.2">
      <c r="B16">
        <f t="shared" si="4"/>
        <v>0.64999999999999969</v>
      </c>
      <c r="C16">
        <f t="shared" si="5"/>
        <v>1.5384615384615392</v>
      </c>
      <c r="D16">
        <f>C16*preliminaries!$C$13</f>
        <v>185.7634607141681</v>
      </c>
      <c r="E16">
        <f>D16*(preliminaries!$B$5/preliminaries!$C$5)</f>
        <v>92.465575815266533</v>
      </c>
      <c r="F16">
        <f>(D16-preliminaries!$C$13)*preliminaries!$F$2</f>
        <v>5.4064890623626347</v>
      </c>
      <c r="G16">
        <f t="shared" si="0"/>
        <v>180.35697165180548</v>
      </c>
      <c r="H16">
        <f>preliminaries!$B$20+(E16-preliminaries!$B$20)*preliminaries!$F$2</f>
        <v>62.793756983676573</v>
      </c>
      <c r="I16">
        <f t="shared" si="1"/>
        <v>29.67181883158996</v>
      </c>
      <c r="J16">
        <f t="shared" si="10"/>
        <v>0.67910415773681909</v>
      </c>
      <c r="K16">
        <f t="shared" si="11"/>
        <v>2.9104157736819576E-2</v>
      </c>
      <c r="L16">
        <f t="shared" si="12"/>
        <v>4.2856692018809046E-2</v>
      </c>
      <c r="M16" s="6">
        <f>(SUM(F16:I16))-preliminaries!$C$13</f>
        <v>157.48278706522547</v>
      </c>
      <c r="N16" s="27">
        <f t="shared" si="2"/>
        <v>0.56601851851851881</v>
      </c>
      <c r="O16" s="6">
        <f t="shared" si="3"/>
        <v>23.15048493076053</v>
      </c>
      <c r="P16">
        <f t="shared" si="9"/>
        <v>1.4980542103164473E-6</v>
      </c>
    </row>
    <row r="17" spans="2:16" x14ac:dyDescent="0.2">
      <c r="B17">
        <f t="shared" si="4"/>
        <v>0.62499999999999967</v>
      </c>
      <c r="C17">
        <f t="shared" si="5"/>
        <v>1.6000000000000008</v>
      </c>
      <c r="D17">
        <f>C17*preliminaries!$C$13</f>
        <v>193.19399914273481</v>
      </c>
      <c r="E17">
        <f>D17*(preliminaries!$B$5/preliminaries!$C$5)</f>
        <v>96.164198847877174</v>
      </c>
      <c r="F17">
        <f>(D17-preliminaries!$C$13)*preliminaries!$F$2</f>
        <v>6.0243735266326484</v>
      </c>
      <c r="G17">
        <f t="shared" si="0"/>
        <v>187.16962561610217</v>
      </c>
      <c r="H17">
        <f>preliminaries!$B$20+(E17-preliminaries!$B$20)*preliminaries!$F$2</f>
        <v>63.101315006962672</v>
      </c>
      <c r="I17">
        <f t="shared" si="1"/>
        <v>33.062883840914502</v>
      </c>
      <c r="J17">
        <f t="shared" si="10"/>
        <v>0.65618302614659207</v>
      </c>
      <c r="K17">
        <f t="shared" si="11"/>
        <v>3.1183026146592394E-2</v>
      </c>
      <c r="L17">
        <f t="shared" si="12"/>
        <v>4.7521842083775676E-2</v>
      </c>
      <c r="M17" s="6">
        <f>(SUM(F17:I17))-preliminaries!$C$13</f>
        <v>168.61194852640278</v>
      </c>
      <c r="N17" s="27">
        <f t="shared" si="2"/>
        <v>0.58271011396011418</v>
      </c>
      <c r="O17" s="6">
        <f t="shared" si="3"/>
        <v>22.260081664192821</v>
      </c>
      <c r="P17">
        <f t="shared" si="9"/>
        <v>2.3810533237409659E-6</v>
      </c>
    </row>
    <row r="18" spans="2:16" x14ac:dyDescent="0.2">
      <c r="B18">
        <f t="shared" si="4"/>
        <v>0.59999999999999964</v>
      </c>
      <c r="C18">
        <f t="shared" si="5"/>
        <v>1.6666666666666676</v>
      </c>
      <c r="D18">
        <f>C18*preliminaries!$C$13</f>
        <v>201.24374910701545</v>
      </c>
      <c r="E18">
        <f>D18*(preliminaries!$B$5/preliminaries!$C$5)</f>
        <v>100.17104046653874</v>
      </c>
      <c r="F18">
        <f>(D18-preliminaries!$C$13)*preliminaries!$F$2</f>
        <v>6.6937483629251657</v>
      </c>
      <c r="G18">
        <f t="shared" si="0"/>
        <v>194.55000074409028</v>
      </c>
      <c r="H18">
        <f>preliminaries!$B$20+(E18-preliminaries!$B$20)*preliminaries!$F$2</f>
        <v>63.43450286552261</v>
      </c>
      <c r="I18">
        <f t="shared" si="1"/>
        <v>36.736537601016131</v>
      </c>
      <c r="J18">
        <f t="shared" si="10"/>
        <v>0.63326189455636483</v>
      </c>
      <c r="K18">
        <f t="shared" si="11"/>
        <v>3.3261894556365225E-2</v>
      </c>
      <c r="L18">
        <f t="shared" si="12"/>
        <v>5.2524705563828426E-2</v>
      </c>
      <c r="M18" s="6">
        <f>(SUM(F18:I18))-preliminaries!$C$13</f>
        <v>180.66854010934503</v>
      </c>
      <c r="N18" s="27">
        <f t="shared" si="2"/>
        <v>0.59940170940170978</v>
      </c>
      <c r="O18" s="6">
        <f t="shared" si="3"/>
        <v>21.369678397625108</v>
      </c>
      <c r="P18">
        <f t="shared" si="9"/>
        <v>3.7871349259340729E-6</v>
      </c>
    </row>
    <row r="19" spans="2:16" x14ac:dyDescent="0.2">
      <c r="B19">
        <f t="shared" si="4"/>
        <v>0.57499999999999962</v>
      </c>
      <c r="C19">
        <f t="shared" si="5"/>
        <v>1.7391304347826098</v>
      </c>
      <c r="D19">
        <f>C19*preliminaries!$C$13</f>
        <v>209.9934773290596</v>
      </c>
      <c r="E19">
        <f>D19*(preliminaries!$B$5/preliminaries!$C$5)</f>
        <v>104.52630309551868</v>
      </c>
      <c r="F19">
        <f>(D19-preliminaries!$C$13)*preliminaries!$F$2</f>
        <v>7.4213297067213793</v>
      </c>
      <c r="G19">
        <f t="shared" si="0"/>
        <v>202.57214762233824</v>
      </c>
      <c r="H19">
        <f>preliminaries!$B$20+(E19-preliminaries!$B$20)*preliminaries!$F$2</f>
        <v>63.796663581348632</v>
      </c>
      <c r="I19">
        <f t="shared" si="1"/>
        <v>40.729639514170053</v>
      </c>
      <c r="J19">
        <f t="shared" si="10"/>
        <v>0.61034076296613771</v>
      </c>
      <c r="K19">
        <f t="shared" si="11"/>
        <v>3.5340762966138049E-2</v>
      </c>
      <c r="L19">
        <f t="shared" si="12"/>
        <v>5.7903330582720375E-2</v>
      </c>
      <c r="M19" s="6">
        <f>(SUM(F19:I19))-preliminaries!$C$13</f>
        <v>193.7735309603691</v>
      </c>
      <c r="N19" s="27">
        <f t="shared" si="2"/>
        <v>0.61609330484330505</v>
      </c>
      <c r="O19" s="6">
        <f t="shared" si="3"/>
        <v>20.479275131057392</v>
      </c>
      <c r="P19">
        <f t="shared" si="9"/>
        <v>6.0280436562215581E-6</v>
      </c>
    </row>
    <row r="20" spans="2:16" x14ac:dyDescent="0.2">
      <c r="B20">
        <f t="shared" si="4"/>
        <v>0.5499999999999996</v>
      </c>
      <c r="C20">
        <f t="shared" si="5"/>
        <v>1.8181818181818195</v>
      </c>
      <c r="D20">
        <f>C20*preliminaries!$C$13</f>
        <v>219.53863538947144</v>
      </c>
      <c r="E20">
        <f>D20*(preliminaries!$B$5/preliminaries!$C$5)</f>
        <v>109.27749869076955</v>
      </c>
      <c r="F20">
        <f>(D20-preliminaries!$C$13)*preliminaries!$F$2</f>
        <v>8.2150548090445241</v>
      </c>
      <c r="G20">
        <f t="shared" si="0"/>
        <v>211.32358058042692</v>
      </c>
      <c r="H20">
        <f>preliminaries!$B$20+(E20-preliminaries!$B$20)*preliminaries!$F$2</f>
        <v>64.19174799861338</v>
      </c>
      <c r="I20">
        <f t="shared" si="1"/>
        <v>45.085750692156168</v>
      </c>
      <c r="J20">
        <f t="shared" si="10"/>
        <v>0.58741963137591036</v>
      </c>
      <c r="K20">
        <f t="shared" si="11"/>
        <v>3.7419631375910881E-2</v>
      </c>
      <c r="L20">
        <f t="shared" si="12"/>
        <v>6.3701703819913288E-2</v>
      </c>
      <c r="M20" s="6">
        <f>(SUM(F20:I20))-preliminaries!$C$13</f>
        <v>208.0698846160318</v>
      </c>
      <c r="N20" s="27">
        <f t="shared" si="2"/>
        <v>0.63278490028490053</v>
      </c>
      <c r="O20" s="6">
        <f t="shared" si="3"/>
        <v>19.588871864489679</v>
      </c>
      <c r="P20">
        <f t="shared" si="9"/>
        <v>9.6026883511483377E-6</v>
      </c>
    </row>
    <row r="21" spans="2:16" x14ac:dyDescent="0.2">
      <c r="B21">
        <f t="shared" si="4"/>
        <v>0.52499999999999958</v>
      </c>
      <c r="C21">
        <f t="shared" si="5"/>
        <v>1.9047619047619062</v>
      </c>
      <c r="D21">
        <f>C21*preliminaries!$C$13</f>
        <v>229.99285612230341</v>
      </c>
      <c r="E21">
        <f>D21*(preliminaries!$B$5/preliminaries!$C$5)</f>
        <v>114.48118910461572</v>
      </c>
      <c r="F21">
        <f>(D21-preliminaries!$C$13)*preliminaries!$F$2</f>
        <v>9.0843727782555845</v>
      </c>
      <c r="G21">
        <f t="shared" si="0"/>
        <v>220.90848334404782</v>
      </c>
      <c r="H21">
        <f>preliminaries!$B$20+(E21-preliminaries!$B$20)*preliminaries!$F$2</f>
        <v>64.624459503236679</v>
      </c>
      <c r="I21">
        <f t="shared" si="1"/>
        <v>49.856729601379044</v>
      </c>
      <c r="J21">
        <f t="shared" si="10"/>
        <v>0.56449849978568323</v>
      </c>
      <c r="K21">
        <f t="shared" si="11"/>
        <v>3.9498499785683705E-2</v>
      </c>
      <c r="L21">
        <f t="shared" si="12"/>
        <v>6.9970956168492304E-2</v>
      </c>
      <c r="M21" s="6">
        <f>(SUM(F21:I21))-preliminaries!$C$13</f>
        <v>223.72779576270989</v>
      </c>
      <c r="N21" s="27">
        <f t="shared" si="2"/>
        <v>0.64947649572649579</v>
      </c>
      <c r="O21" s="6">
        <f t="shared" si="3"/>
        <v>18.698468597921966</v>
      </c>
      <c r="P21">
        <f t="shared" si="9"/>
        <v>1.531054009076669E-5</v>
      </c>
    </row>
    <row r="22" spans="2:16" x14ac:dyDescent="0.2">
      <c r="B22">
        <f t="shared" si="4"/>
        <v>0.49999999999999956</v>
      </c>
      <c r="C22">
        <f t="shared" si="5"/>
        <v>2.0000000000000018</v>
      </c>
      <c r="D22">
        <f>C22*preliminaries!$C$13</f>
        <v>241.49249892841863</v>
      </c>
      <c r="E22">
        <f>D22*(preliminaries!$B$5/preliminaries!$C$5)</f>
        <v>120.20524855984652</v>
      </c>
      <c r="F22">
        <f>(D22-preliminaries!$C$13)*preliminaries!$F$2</f>
        <v>10.040622544387753</v>
      </c>
      <c r="G22">
        <f t="shared" si="0"/>
        <v>231.45187638403087</v>
      </c>
      <c r="H22">
        <f>preliminaries!$B$20+(E22-preliminaries!$B$20)*preliminaries!$F$2</f>
        <v>65.100442158322309</v>
      </c>
      <c r="I22">
        <f t="shared" si="1"/>
        <v>55.104806401524215</v>
      </c>
      <c r="J22">
        <f t="shared" si="10"/>
        <v>0.54157736819545599</v>
      </c>
      <c r="K22">
        <f t="shared" si="11"/>
        <v>4.1577368195456536E-2</v>
      </c>
      <c r="L22">
        <f t="shared" si="12"/>
        <v>7.677087455480823E-2</v>
      </c>
      <c r="M22" s="6">
        <f>(SUM(F22:I22))-preliminaries!$C$13</f>
        <v>240.95149802405598</v>
      </c>
      <c r="N22" s="27">
        <f t="shared" si="2"/>
        <v>0.66616809116809161</v>
      </c>
      <c r="O22" s="6">
        <f t="shared" si="3"/>
        <v>17.808065331354246</v>
      </c>
      <c r="P22">
        <f t="shared" si="9"/>
        <v>2.4434529253604071E-5</v>
      </c>
    </row>
    <row r="23" spans="2:16" x14ac:dyDescent="0.2">
      <c r="B23">
        <f t="shared" si="4"/>
        <v>0.47499999999999953</v>
      </c>
      <c r="C23">
        <f t="shared" si="5"/>
        <v>2.1052631578947389</v>
      </c>
      <c r="D23">
        <f>C23*preliminaries!$C$13</f>
        <v>254.20263045096698</v>
      </c>
      <c r="E23">
        <f>D23*(preliminaries!$B$5/preliminaries!$C$5)</f>
        <v>126.53184058931214</v>
      </c>
      <c r="F23">
        <f>(D23-preliminaries!$C$13)*preliminaries!$F$2</f>
        <v>11.097530180639096</v>
      </c>
      <c r="G23">
        <f t="shared" si="0"/>
        <v>243.10510027032788</v>
      </c>
      <c r="H23">
        <f>preliminaries!$B$20+(E23-preliminaries!$B$20)*preliminaries!$F$2</f>
        <v>65.626528250785384</v>
      </c>
      <c r="I23">
        <f t="shared" si="1"/>
        <v>60.905312338526755</v>
      </c>
      <c r="J23">
        <f t="shared" si="10"/>
        <v>0.51865623660522886</v>
      </c>
      <c r="K23">
        <f t="shared" si="11"/>
        <v>4.3656236605229361E-2</v>
      </c>
      <c r="L23">
        <f t="shared" si="12"/>
        <v>8.4171814631929243E-2</v>
      </c>
      <c r="M23" s="6">
        <f>(SUM(F23:I23))-preliminaries!$C$13</f>
        <v>259.98822157606992</v>
      </c>
      <c r="N23" s="27">
        <f t="shared" si="2"/>
        <v>0.68285968660968688</v>
      </c>
      <c r="O23" s="6">
        <f t="shared" si="3"/>
        <v>16.917662064786537</v>
      </c>
      <c r="P23">
        <f t="shared" si="9"/>
        <v>3.9036668886282121E-5</v>
      </c>
    </row>
    <row r="24" spans="2:16" x14ac:dyDescent="0.2">
      <c r="B24">
        <f t="shared" si="4"/>
        <v>0.44999999999999951</v>
      </c>
      <c r="C24">
        <f t="shared" si="5"/>
        <v>2.2222222222222245</v>
      </c>
      <c r="D24">
        <f>C24*preliminaries!$C$13</f>
        <v>268.32499880935404</v>
      </c>
      <c r="E24">
        <f>D24*(preliminaries!$B$5/preliminaries!$C$5)</f>
        <v>133.56138728871838</v>
      </c>
      <c r="F24">
        <f>(D24-preliminaries!$C$13)*preliminaries!$F$2</f>
        <v>12.271871998696142</v>
      </c>
      <c r="G24">
        <f t="shared" si="0"/>
        <v>256.05312681065789</v>
      </c>
      <c r="H24">
        <f>preliminaries!$B$20+(E24-preliminaries!$B$20)*preliminaries!$F$2</f>
        <v>66.211068353522123</v>
      </c>
      <c r="I24">
        <f t="shared" si="1"/>
        <v>67.350318935196256</v>
      </c>
      <c r="J24">
        <f t="shared" si="10"/>
        <v>0.49573510501500173</v>
      </c>
      <c r="K24">
        <f t="shared" si="11"/>
        <v>4.5735105015002178E-2</v>
      </c>
      <c r="L24">
        <f t="shared" si="12"/>
        <v>9.2257144092343757E-2</v>
      </c>
      <c r="M24" s="6">
        <f>(SUM(F24:I24))-preliminaries!$C$13</f>
        <v>281.14013663386322</v>
      </c>
      <c r="N24" s="27">
        <f t="shared" si="2"/>
        <v>0.69955128205128236</v>
      </c>
      <c r="O24" s="6">
        <f t="shared" si="3"/>
        <v>16.027258798218824</v>
      </c>
      <c r="P24">
        <f t="shared" si="9"/>
        <v>6.243704244396658E-5</v>
      </c>
    </row>
    <row r="25" spans="2:16" x14ac:dyDescent="0.2">
      <c r="B25">
        <f t="shared" si="4"/>
        <v>0.42499999999999949</v>
      </c>
      <c r="C25">
        <f t="shared" si="5"/>
        <v>2.352941176470591</v>
      </c>
      <c r="D25">
        <f>C25*preliminaries!$C$13</f>
        <v>284.10882226872786</v>
      </c>
      <c r="E25">
        <f>D25*(preliminaries!$B$5/preliminaries!$C$5)</f>
        <v>141.41793948217241</v>
      </c>
      <c r="F25">
        <f>(D25-preliminaries!$C$13)*preliminaries!$F$2</f>
        <v>13.58437167770108</v>
      </c>
      <c r="G25">
        <f t="shared" si="0"/>
        <v>270.52445059102678</v>
      </c>
      <c r="H25">
        <f>preliminaries!$B$20+(E25-preliminaries!$B$20)*preliminaries!$F$2</f>
        <v>66.86437788011024</v>
      </c>
      <c r="I25">
        <f t="shared" si="1"/>
        <v>74.553561602062175</v>
      </c>
      <c r="J25">
        <f t="shared" si="10"/>
        <v>0.47281397342477455</v>
      </c>
      <c r="K25">
        <f t="shared" si="11"/>
        <v>4.781397342477501E-2</v>
      </c>
      <c r="L25">
        <f t="shared" si="12"/>
        <v>0.10112639666387163</v>
      </c>
      <c r="M25" s="6">
        <f>(SUM(F25:I25))-preliminaries!$C$13</f>
        <v>304.78051228669108</v>
      </c>
      <c r="N25" s="27">
        <f t="shared" si="2"/>
        <v>0.71624287749287785</v>
      </c>
      <c r="O25" s="6">
        <f t="shared" si="3"/>
        <v>15.136855531651108</v>
      </c>
      <c r="P25">
        <f t="shared" si="9"/>
        <v>9.9992039199823903E-5</v>
      </c>
    </row>
    <row r="26" spans="2:16" x14ac:dyDescent="0.2">
      <c r="B26">
        <f t="shared" si="4"/>
        <v>0.39999999999999947</v>
      </c>
      <c r="C26">
        <f t="shared" si="5"/>
        <v>2.5000000000000036</v>
      </c>
      <c r="D26">
        <f>C26*preliminaries!$C$13</f>
        <v>301.86562366052345</v>
      </c>
      <c r="E26">
        <f>D26*(preliminaries!$B$5/preliminaries!$C$5)</f>
        <v>150.25656069980823</v>
      </c>
      <c r="F26">
        <f>(D26-preliminaries!$C$13)*preliminaries!$F$2</f>
        <v>15.06093381658164</v>
      </c>
      <c r="G26">
        <f t="shared" si="0"/>
        <v>286.80468984394179</v>
      </c>
      <c r="H26">
        <f>preliminaries!$B$20+(E26-preliminaries!$B$20)*preliminaries!$F$2</f>
        <v>67.599351097521875</v>
      </c>
      <c r="I26">
        <f t="shared" si="1"/>
        <v>82.657209602286358</v>
      </c>
      <c r="J26">
        <f t="shared" si="10"/>
        <v>0.44989284183454725</v>
      </c>
      <c r="K26">
        <f t="shared" si="11"/>
        <v>4.9892841834547841E-2</v>
      </c>
      <c r="L26">
        <f t="shared" si="12"/>
        <v>0.11089939024390268</v>
      </c>
      <c r="M26" s="6">
        <f>(SUM(F26:I26))-preliminaries!$C$13</f>
        <v>331.37593489612249</v>
      </c>
      <c r="N26" s="27">
        <f t="shared" si="2"/>
        <v>0.73293447293447334</v>
      </c>
      <c r="O26" s="6">
        <f t="shared" si="3"/>
        <v>14.246452265083391</v>
      </c>
      <c r="P26">
        <f t="shared" si="9"/>
        <v>1.6036281605365279E-4</v>
      </c>
    </row>
    <row r="27" spans="2:16" x14ac:dyDescent="0.2">
      <c r="B27">
        <f t="shared" si="4"/>
        <v>0.37499999999999944</v>
      </c>
      <c r="C27">
        <f t="shared" si="5"/>
        <v>2.6666666666666705</v>
      </c>
      <c r="D27">
        <f>C27*preliminaries!$C$13</f>
        <v>321.98999857122499</v>
      </c>
      <c r="E27">
        <f>D27*(preliminaries!$B$5/preliminaries!$C$5)</f>
        <v>160.27366474646212</v>
      </c>
      <c r="F27">
        <f>(D27-preliminaries!$C$13)*preliminaries!$F$2</f>
        <v>16.734370907312929</v>
      </c>
      <c r="G27">
        <f t="shared" si="0"/>
        <v>305.25562766391204</v>
      </c>
      <c r="H27">
        <f>preliminaries!$B$20+(E27-preliminaries!$B$20)*preliminaries!$F$2</f>
        <v>68.432320743921721</v>
      </c>
      <c r="I27">
        <f t="shared" si="1"/>
        <v>91.841344002540396</v>
      </c>
      <c r="J27">
        <f t="shared" si="10"/>
        <v>0.42697171024432007</v>
      </c>
      <c r="K27">
        <f t="shared" si="11"/>
        <v>5.1971710244320665E-2</v>
      </c>
      <c r="L27">
        <f t="shared" si="12"/>
        <v>0.12172167147697353</v>
      </c>
      <c r="M27" s="6">
        <f>(SUM(F27:I27))-preliminaries!$C$13</f>
        <v>361.51741385347788</v>
      </c>
      <c r="N27" s="27">
        <f t="shared" si="2"/>
        <v>0.7496260683760686</v>
      </c>
      <c r="O27" s="6">
        <f t="shared" si="3"/>
        <v>13.35604899851568</v>
      </c>
      <c r="P27">
        <f t="shared" si="9"/>
        <v>2.5759041745427886E-4</v>
      </c>
    </row>
    <row r="28" spans="2:16" x14ac:dyDescent="0.2">
      <c r="B28">
        <f t="shared" si="4"/>
        <v>0.34999999999999942</v>
      </c>
      <c r="C28">
        <f t="shared" si="5"/>
        <v>2.8571428571428616</v>
      </c>
      <c r="D28">
        <f>C28*preliminaries!$C$13</f>
        <v>344.98928418345542</v>
      </c>
      <c r="E28">
        <f>D28*(preliminaries!$B$5/preliminaries!$C$5)</f>
        <v>171.72178365692375</v>
      </c>
      <c r="F28">
        <f>(D28-preliminaries!$C$13)*preliminaries!$F$2</f>
        <v>18.64687043957727</v>
      </c>
      <c r="G28">
        <f t="shared" si="0"/>
        <v>326.34241374387818</v>
      </c>
      <c r="H28">
        <f>preliminaries!$B$20+(E28-preliminaries!$B$20)*preliminaries!$F$2</f>
        <v>69.384286054092996</v>
      </c>
      <c r="I28">
        <f t="shared" si="1"/>
        <v>102.33749760283075</v>
      </c>
      <c r="J28">
        <f t="shared" si="10"/>
        <v>0.40405057865409294</v>
      </c>
      <c r="K28">
        <f t="shared" si="11"/>
        <v>5.4050578654093497E-2</v>
      </c>
      <c r="L28">
        <f t="shared" si="12"/>
        <v>0.13377181350448233</v>
      </c>
      <c r="M28" s="6">
        <f>(SUM(F28:I28))-preliminaries!$C$13</f>
        <v>395.96481837617</v>
      </c>
      <c r="N28" s="27">
        <f t="shared" si="2"/>
        <v>0.7663176638176642</v>
      </c>
      <c r="O28" s="6">
        <f t="shared" si="3"/>
        <v>12.465645731947969</v>
      </c>
      <c r="P28">
        <f t="shared" si="9"/>
        <v>4.1450520231683133E-4</v>
      </c>
    </row>
    <row r="29" spans="2:16" x14ac:dyDescent="0.2">
      <c r="B29">
        <f t="shared" si="4"/>
        <v>0.3249999999999994</v>
      </c>
      <c r="C29">
        <f t="shared" si="5"/>
        <v>3.0769230769230824</v>
      </c>
      <c r="D29">
        <f>C29*preliminaries!$C$13</f>
        <v>371.52692142833666</v>
      </c>
      <c r="E29">
        <f>D29*(preliminaries!$B$5/preliminaries!$C$5)</f>
        <v>184.93115163053329</v>
      </c>
      <c r="F29">
        <f>(D29-preliminaries!$C$13)*preliminaries!$F$2</f>
        <v>20.853600669113042</v>
      </c>
      <c r="G29">
        <f t="shared" si="0"/>
        <v>350.6733207592236</v>
      </c>
      <c r="H29">
        <f>preliminaries!$B$20+(E29-preliminaries!$B$20)*preliminaries!$F$2</f>
        <v>70.48270756582906</v>
      </c>
      <c r="I29">
        <f t="shared" si="1"/>
        <v>114.44844406470423</v>
      </c>
      <c r="J29">
        <f t="shared" si="10"/>
        <v>0.3811294470638657</v>
      </c>
      <c r="K29">
        <f t="shared" si="11"/>
        <v>5.6129447063866314E-2</v>
      </c>
      <c r="L29">
        <f t="shared" si="12"/>
        <v>0.14727134703517339</v>
      </c>
      <c r="M29" s="6">
        <f>(SUM(F29:I29))-preliminaries!$C$13</f>
        <v>435.71182359466081</v>
      </c>
      <c r="N29" s="27">
        <f t="shared" si="2"/>
        <v>0.78300925925925968</v>
      </c>
      <c r="O29" s="6">
        <f t="shared" si="3"/>
        <v>11.575242465380251</v>
      </c>
      <c r="P29">
        <f t="shared" si="9"/>
        <v>6.6835720417319263E-4</v>
      </c>
    </row>
    <row r="30" spans="2:16" x14ac:dyDescent="0.2">
      <c r="B30">
        <f t="shared" si="4"/>
        <v>0.29999999999999938</v>
      </c>
      <c r="C30">
        <f t="shared" si="5"/>
        <v>3.3333333333333401</v>
      </c>
      <c r="D30">
        <f>C30*preliminaries!$C$13</f>
        <v>402.48749821403146</v>
      </c>
      <c r="E30">
        <f>D30*(preliminaries!$B$5/preliminaries!$C$5)</f>
        <v>200.34208093307777</v>
      </c>
      <c r="F30">
        <f>(D30-preliminaries!$C$13)*preliminaries!$F$2</f>
        <v>23.428119270238113</v>
      </c>
      <c r="G30">
        <f t="shared" si="0"/>
        <v>379.05937894379338</v>
      </c>
      <c r="H30">
        <f>preliminaries!$B$20+(E30-preliminaries!$B$20)*preliminaries!$F$2</f>
        <v>71.764199329521148</v>
      </c>
      <c r="I30">
        <f t="shared" si="1"/>
        <v>128.57788160355662</v>
      </c>
      <c r="J30">
        <f t="shared" si="10"/>
        <v>0.35820831547363857</v>
      </c>
      <c r="K30">
        <f t="shared" si="11"/>
        <v>5.8208315473639138E-2</v>
      </c>
      <c r="L30">
        <f t="shared" si="12"/>
        <v>0.16249850424793624</v>
      </c>
      <c r="M30" s="6">
        <f>(SUM(F30:I30))-preliminaries!$C$13</f>
        <v>482.08332968290006</v>
      </c>
      <c r="N30" s="27">
        <f t="shared" si="2"/>
        <v>0.79970085470085517</v>
      </c>
      <c r="O30" s="6">
        <f t="shared" si="3"/>
        <v>10.684839198812538</v>
      </c>
      <c r="P30">
        <f t="shared" si="9"/>
        <v>1.0801712341547887E-3</v>
      </c>
    </row>
    <row r="31" spans="2:16" x14ac:dyDescent="0.2">
      <c r="B31">
        <f t="shared" si="4"/>
        <v>0.27499999999999936</v>
      </c>
      <c r="C31">
        <f t="shared" si="5"/>
        <v>3.6363636363636447</v>
      </c>
      <c r="D31">
        <f>C31*preliminaries!$C$13</f>
        <v>439.07727077894356</v>
      </c>
      <c r="E31">
        <f>D31*(preliminaries!$B$5/preliminaries!$C$5)</f>
        <v>218.55499738153944</v>
      </c>
      <c r="F31">
        <f>(D31-preliminaries!$C$13)*preliminaries!$F$2</f>
        <v>26.470732162476839</v>
      </c>
      <c r="G31">
        <f t="shared" si="0"/>
        <v>412.60653861646671</v>
      </c>
      <c r="H31">
        <f>preliminaries!$B$20+(E31-preliminaries!$B$20)*preliminaries!$F$2</f>
        <v>73.278689595702701</v>
      </c>
      <c r="I31">
        <f t="shared" si="1"/>
        <v>145.27630778583674</v>
      </c>
      <c r="J31">
        <f t="shared" si="10"/>
        <v>0.33528718388341133</v>
      </c>
      <c r="K31">
        <f t="shared" si="11"/>
        <v>6.028718388341197E-2</v>
      </c>
      <c r="L31">
        <f t="shared" si="12"/>
        <v>0.17980760011505689</v>
      </c>
      <c r="M31" s="6">
        <f>(SUM(F31:I31))-preliminaries!$C$13</f>
        <v>536.88601869627371</v>
      </c>
      <c r="N31" s="27">
        <f t="shared" si="2"/>
        <v>0.81639245014245043</v>
      </c>
      <c r="O31" s="6">
        <f t="shared" si="3"/>
        <v>9.7944359322448271</v>
      </c>
      <c r="P31">
        <f t="shared" si="9"/>
        <v>1.7504069548280319E-3</v>
      </c>
    </row>
    <row r="32" spans="2:16" x14ac:dyDescent="0.2">
      <c r="B32">
        <f t="shared" si="4"/>
        <v>0.24999999999999936</v>
      </c>
      <c r="C32">
        <f t="shared" si="5"/>
        <v>4.0000000000000107</v>
      </c>
      <c r="D32">
        <f>C32*preliminaries!$C$13</f>
        <v>482.98499785683811</v>
      </c>
      <c r="E32">
        <f>D32*(preliminaries!$B$5/preliminaries!$C$5)</f>
        <v>240.41049711969347</v>
      </c>
      <c r="F32">
        <f>(D32-preliminaries!$C$13)*preliminaries!$F$2</f>
        <v>30.121867633163312</v>
      </c>
      <c r="G32">
        <f t="shared" si="0"/>
        <v>452.86313022367477</v>
      </c>
      <c r="H32">
        <f>preliminaries!$B$20+(E32-preliminaries!$B$20)*preliminaries!$F$2</f>
        <v>75.09607791512056</v>
      </c>
      <c r="I32">
        <f t="shared" si="1"/>
        <v>165.31441920457291</v>
      </c>
      <c r="J32">
        <f t="shared" si="10"/>
        <v>0.31236605229318409</v>
      </c>
      <c r="K32">
        <f t="shared" si="11"/>
        <v>6.2366052293184794E-2</v>
      </c>
      <c r="L32">
        <f t="shared" si="12"/>
        <v>0.19965694682675872</v>
      </c>
      <c r="M32" s="6">
        <f>(SUM(F32:I32))-preliminaries!$C$13</f>
        <v>602.64924551232241</v>
      </c>
      <c r="N32" s="27">
        <f t="shared" si="2"/>
        <v>0.83308404558404603</v>
      </c>
      <c r="O32" s="6">
        <f t="shared" si="3"/>
        <v>8.9040326656771089</v>
      </c>
      <c r="P32">
        <f t="shared" si="9"/>
        <v>2.8454157014544761E-3</v>
      </c>
    </row>
    <row r="33" spans="1:16" x14ac:dyDescent="0.2">
      <c r="B33">
        <f t="shared" si="4"/>
        <v>0.22499999999999937</v>
      </c>
      <c r="C33">
        <f t="shared" si="5"/>
        <v>4.4444444444444571</v>
      </c>
      <c r="D33">
        <f>C33*preliminaries!$C$13</f>
        <v>536.64999761870911</v>
      </c>
      <c r="E33">
        <f>D33*(preliminaries!$B$5/preliminaries!$C$5)</f>
        <v>267.12277457743727</v>
      </c>
      <c r="F33">
        <f>(D33-preliminaries!$C$13)*preliminaries!$F$2</f>
        <v>34.584366541780106</v>
      </c>
      <c r="G33">
        <f t="shared" si="0"/>
        <v>502.06563107692898</v>
      </c>
      <c r="H33">
        <f>preliminaries!$B$20+(E33-preliminaries!$B$20)*preliminaries!$F$2</f>
        <v>77.317330305520173</v>
      </c>
      <c r="I33">
        <f t="shared" si="1"/>
        <v>189.80544427191711</v>
      </c>
      <c r="J33">
        <f t="shared" si="10"/>
        <v>0.28944492070295696</v>
      </c>
      <c r="K33">
        <f t="shared" si="11"/>
        <v>6.4444920702957625E-2</v>
      </c>
      <c r="L33">
        <f t="shared" si="12"/>
        <v>0.22265003146866158</v>
      </c>
      <c r="M33" s="6">
        <f>(SUM(F33:I33))-preliminaries!$C$13</f>
        <v>683.02652273193723</v>
      </c>
      <c r="N33" s="27">
        <f t="shared" si="2"/>
        <v>0.84977564102564151</v>
      </c>
      <c r="O33" s="6">
        <f t="shared" si="3"/>
        <v>8.0136293991093961</v>
      </c>
      <c r="P33">
        <f t="shared" si="9"/>
        <v>4.6426597730694829E-3</v>
      </c>
    </row>
    <row r="34" spans="1:16" x14ac:dyDescent="0.2">
      <c r="B34">
        <f t="shared" si="4"/>
        <v>0.19999999999999937</v>
      </c>
      <c r="C34">
        <f t="shared" si="5"/>
        <v>5.000000000000016</v>
      </c>
      <c r="D34">
        <f>C34*preliminaries!$C$13</f>
        <v>603.73124732104793</v>
      </c>
      <c r="E34">
        <f>D34*(preliminaries!$B$5/preliminaries!$C$5)</f>
        <v>300.51312139961698</v>
      </c>
      <c r="F34">
        <f>(D34-preliminaries!$C$13)*preliminaries!$F$2</f>
        <v>40.162490177551099</v>
      </c>
      <c r="G34">
        <f t="shared" si="0"/>
        <v>563.56875714349678</v>
      </c>
      <c r="H34">
        <f>preliminaries!$B$20+(E34-preliminaries!$B$20)*preliminaries!$F$2</f>
        <v>80.093895793519692</v>
      </c>
      <c r="I34">
        <f t="shared" si="1"/>
        <v>220.41922560609729</v>
      </c>
      <c r="J34">
        <f t="shared" si="10"/>
        <v>0.26652378911272984</v>
      </c>
      <c r="K34">
        <f t="shared" si="11"/>
        <v>6.652378911273045E-2</v>
      </c>
      <c r="L34">
        <f t="shared" si="12"/>
        <v>0.24959794146027736</v>
      </c>
      <c r="M34" s="6">
        <f>(SUM(F34:I34))-preliminaries!$C$13</f>
        <v>783.49811925645565</v>
      </c>
      <c r="N34" s="27">
        <f t="shared" si="2"/>
        <v>0.86646723646723689</v>
      </c>
      <c r="O34" s="6">
        <f t="shared" si="3"/>
        <v>7.1232261325416877</v>
      </c>
      <c r="P34">
        <f t="shared" si="9"/>
        <v>7.609166091419697E-3</v>
      </c>
    </row>
    <row r="35" spans="1:16" x14ac:dyDescent="0.2">
      <c r="B35">
        <f t="shared" si="4"/>
        <v>0.17499999999999938</v>
      </c>
      <c r="C35">
        <f t="shared" si="5"/>
        <v>5.7142857142857348</v>
      </c>
      <c r="D35">
        <f>C35*preliminaries!$C$13</f>
        <v>689.97856836691221</v>
      </c>
      <c r="E35">
        <f>D35*(preliminaries!$B$5/preliminaries!$C$5)</f>
        <v>343.44356731384818</v>
      </c>
      <c r="F35">
        <f>(D35-preliminaries!$C$13)*preliminaries!$F$2</f>
        <v>47.334363423542385</v>
      </c>
      <c r="G35">
        <f t="shared" si="0"/>
        <v>642.6442049433698</v>
      </c>
      <c r="H35">
        <f>preliminaries!$B$20+(E35-preliminaries!$B$20)*preliminaries!$F$2</f>
        <v>83.663765706661934</v>
      </c>
      <c r="I35">
        <f t="shared" si="1"/>
        <v>259.77980160718624</v>
      </c>
      <c r="J35">
        <f t="shared" si="10"/>
        <v>0.24360265752250262</v>
      </c>
      <c r="K35">
        <f t="shared" si="11"/>
        <v>6.860265752250326E-2</v>
      </c>
      <c r="L35">
        <f t="shared" si="12"/>
        <v>0.2816170325078089</v>
      </c>
      <c r="M35" s="6">
        <f>(SUM(F35:I35))-preliminaries!$C$13</f>
        <v>912.67588621655125</v>
      </c>
      <c r="N35" s="27">
        <f t="shared" si="2"/>
        <v>0.88315883190883238</v>
      </c>
      <c r="O35" s="6">
        <f t="shared" si="3"/>
        <v>6.2328228659739704</v>
      </c>
      <c r="P35">
        <f t="shared" si="9"/>
        <v>1.2540367040149597E-2</v>
      </c>
    </row>
    <row r="36" spans="1:16" x14ac:dyDescent="0.2">
      <c r="B36">
        <f t="shared" si="4"/>
        <v>0.14999999999999938</v>
      </c>
      <c r="C36">
        <f t="shared" si="5"/>
        <v>6.6666666666666945</v>
      </c>
      <c r="D36">
        <f>C36*preliminaries!$C$13</f>
        <v>804.97499642806474</v>
      </c>
      <c r="E36">
        <f>D36*(preliminaries!$B$5/preliminaries!$C$5)</f>
        <v>400.68416186615644</v>
      </c>
      <c r="F36">
        <f>(D36-preliminaries!$C$13)*preliminaries!$F$2</f>
        <v>56.896861084864113</v>
      </c>
      <c r="G36">
        <f t="shared" si="0"/>
        <v>748.07813534320064</v>
      </c>
      <c r="H36">
        <f>preliminaries!$B$20+(E36-preliminaries!$B$20)*preliminaries!$F$2</f>
        <v>88.423592257518251</v>
      </c>
      <c r="I36">
        <f t="shared" si="1"/>
        <v>312.26056960863821</v>
      </c>
      <c r="J36">
        <f t="shared" si="10"/>
        <v>0.22068152593227544</v>
      </c>
      <c r="K36">
        <f t="shared" si="11"/>
        <v>7.0681525932276099E-2</v>
      </c>
      <c r="L36">
        <f t="shared" si="12"/>
        <v>0.32028746236768102</v>
      </c>
      <c r="M36" s="6">
        <f>(SUM(F36:I36))-preliminaries!$C$13</f>
        <v>1084.9129088300119</v>
      </c>
      <c r="N36" s="27">
        <f t="shared" si="2"/>
        <v>0.89985042735042764</v>
      </c>
      <c r="O36" s="6">
        <f t="shared" si="3"/>
        <v>5.3424195994062567</v>
      </c>
      <c r="P36">
        <f t="shared" si="9"/>
        <v>2.0812565955518475E-2</v>
      </c>
    </row>
    <row r="37" spans="1:16" x14ac:dyDescent="0.2">
      <c r="B37">
        <f t="shared" si="4"/>
        <v>0.12499999999999939</v>
      </c>
      <c r="C37">
        <f t="shared" si="5"/>
        <v>8.0000000000000391</v>
      </c>
      <c r="D37">
        <f>C37*preliminaries!$C$13</f>
        <v>965.96999571367837</v>
      </c>
      <c r="E37">
        <f>D37*(preliminaries!$B$5/preliminaries!$C$5)</f>
        <v>480.82099423938803</v>
      </c>
      <c r="F37">
        <f>(D37-preliminaries!$C$13)*preliminaries!$F$2</f>
        <v>70.284357810714539</v>
      </c>
      <c r="G37">
        <f t="shared" si="0"/>
        <v>895.68563790296389</v>
      </c>
      <c r="H37">
        <f>preliminaries!$B$20+(E37-preliminaries!$B$20)*preliminaries!$F$2</f>
        <v>95.087349428717118</v>
      </c>
      <c r="I37">
        <f t="shared" si="1"/>
        <v>385.73364481067091</v>
      </c>
      <c r="J37">
        <f t="shared" si="10"/>
        <v>0.19776039434204831</v>
      </c>
      <c r="K37">
        <f t="shared" si="11"/>
        <v>7.2760394342048909E-2</v>
      </c>
      <c r="L37">
        <f t="shared" si="12"/>
        <v>0.36792197236521396</v>
      </c>
      <c r="M37" s="6">
        <f>(SUM(F37:I37))-preliminaries!$C$13</f>
        <v>1326.0447404888573</v>
      </c>
      <c r="N37" s="27">
        <f t="shared" si="2"/>
        <v>0.91654202279202324</v>
      </c>
      <c r="O37" s="6">
        <f t="shared" si="3"/>
        <v>4.4520163328385465</v>
      </c>
      <c r="P37">
        <f t="shared" si="9"/>
        <v>3.4860063657734454E-2</v>
      </c>
    </row>
    <row r="38" spans="1:16" x14ac:dyDescent="0.2">
      <c r="B38">
        <f t="shared" si="4"/>
        <v>9.9999999999999395E-2</v>
      </c>
      <c r="C38">
        <f t="shared" si="5"/>
        <v>10.00000000000006</v>
      </c>
      <c r="D38">
        <f>C38*preliminaries!$C$13</f>
        <v>1207.4624946420993</v>
      </c>
      <c r="E38">
        <f>D38*(preliminaries!$B$5/preliminaries!$C$5)</f>
        <v>601.02624279923566</v>
      </c>
      <c r="F38">
        <f>(D38-preliminaries!$C$13)*preliminaries!$F$2</f>
        <v>90.365602899490213</v>
      </c>
      <c r="G38">
        <f t="shared" si="0"/>
        <v>1117.0968917426092</v>
      </c>
      <c r="H38">
        <f>preliminaries!$B$20+(E38-preliminaries!$B$20)*preliminaries!$F$2</f>
        <v>105.08298518551541</v>
      </c>
      <c r="I38">
        <f t="shared" si="1"/>
        <v>495.94325761372022</v>
      </c>
      <c r="J38">
        <f t="shared" si="10"/>
        <v>0.17483926275182113</v>
      </c>
      <c r="K38">
        <f t="shared" si="11"/>
        <v>7.4839262751821733E-2</v>
      </c>
      <c r="L38">
        <f t="shared" si="12"/>
        <v>0.42804608972787611</v>
      </c>
      <c r="M38" s="6">
        <f>(SUM(F38:I38))-preliminaries!$C$13</f>
        <v>1687.7424879771256</v>
      </c>
      <c r="N38" s="27">
        <f t="shared" si="2"/>
        <v>0.93323361823361861</v>
      </c>
      <c r="O38" s="6">
        <f t="shared" si="3"/>
        <v>3.5616130662708319</v>
      </c>
      <c r="P38">
        <f t="shared" si="9"/>
        <v>5.9130251998052503E-2</v>
      </c>
    </row>
    <row r="39" spans="1:16" x14ac:dyDescent="0.2">
      <c r="B39">
        <f t="shared" si="4"/>
        <v>7.49999999999994E-2</v>
      </c>
      <c r="C39">
        <f t="shared" si="5"/>
        <v>13.333333333333441</v>
      </c>
      <c r="D39">
        <f>C39*preliminaries!$C$13</f>
        <v>1609.9499928561356</v>
      </c>
      <c r="E39">
        <f>D39*(preliminaries!$B$5/preliminaries!$C$5)</f>
        <v>801.36832373231584</v>
      </c>
      <c r="F39">
        <f>(D39-preliminaries!$C$13)*preliminaries!$F$2</f>
        <v>123.83434471411647</v>
      </c>
      <c r="G39">
        <f t="shared" si="0"/>
        <v>1486.1156481420192</v>
      </c>
      <c r="H39">
        <f>preliminaries!$B$20+(E39-preliminaries!$B$20)*preliminaries!$F$2</f>
        <v>121.74237811351264</v>
      </c>
      <c r="I39">
        <f t="shared" si="1"/>
        <v>679.62594561880314</v>
      </c>
      <c r="J39">
        <f t="shared" si="10"/>
        <v>0.15191813116159397</v>
      </c>
      <c r="K39">
        <f t="shared" si="11"/>
        <v>7.6918131161594558E-2</v>
      </c>
      <c r="L39">
        <f t="shared" si="12"/>
        <v>0.50631304225153628</v>
      </c>
      <c r="M39" s="6">
        <f>(SUM(F39:I39))-preliminaries!$C$13</f>
        <v>2290.572067124242</v>
      </c>
      <c r="N39" s="27">
        <f t="shared" si="2"/>
        <v>0.94992521367521399</v>
      </c>
      <c r="O39" s="6">
        <f t="shared" si="3"/>
        <v>2.6712097997031203</v>
      </c>
      <c r="P39">
        <f t="shared" si="9"/>
        <v>0.10217832656612061</v>
      </c>
    </row>
    <row r="40" spans="1:16" x14ac:dyDescent="0.2">
      <c r="B40">
        <f t="shared" si="4"/>
        <v>4.9999999999999399E-2</v>
      </c>
      <c r="C40">
        <f t="shared" si="5"/>
        <v>20.000000000000242</v>
      </c>
      <c r="D40">
        <f>C40*preliminaries!$C$13</f>
        <v>2414.9249892842131</v>
      </c>
      <c r="E40">
        <f>D40*(preliminaries!$B$5/preliminaries!$C$5)</f>
        <v>1202.0524855984786</v>
      </c>
      <c r="F40">
        <f>(D40-preliminaries!$C$13)*preliminaries!$F$2</f>
        <v>190.77182834336938</v>
      </c>
      <c r="G40">
        <f t="shared" si="0"/>
        <v>2224.1531609408439</v>
      </c>
      <c r="H40">
        <f>preliminaries!$B$20+(E40-preliminaries!$B$20)*preliminaries!$F$2</f>
        <v>155.06116396950733</v>
      </c>
      <c r="I40">
        <f t="shared" si="1"/>
        <v>1046.9913216289713</v>
      </c>
      <c r="J40">
        <f t="shared" si="10"/>
        <v>0.12899699957136679</v>
      </c>
      <c r="K40">
        <f t="shared" si="11"/>
        <v>7.8996999571367382E-2</v>
      </c>
      <c r="L40">
        <f t="shared" si="12"/>
        <v>0.61239408539624818</v>
      </c>
      <c r="M40" s="6">
        <f>(SUM(F40:I40))-preliminaries!$C$13</f>
        <v>3496.2312254184831</v>
      </c>
      <c r="N40" s="27">
        <f t="shared" si="2"/>
        <v>0.96661680911680969</v>
      </c>
      <c r="O40" s="6">
        <f t="shared" si="3"/>
        <v>1.7808065331354053</v>
      </c>
      <c r="P40">
        <f t="shared" si="9"/>
        <v>0.1820503199984306</v>
      </c>
    </row>
    <row r="41" spans="1:16" x14ac:dyDescent="0.2">
      <c r="B41">
        <f t="shared" si="4"/>
        <v>2.4999999999999398E-2</v>
      </c>
      <c r="C41">
        <f t="shared" si="5"/>
        <v>40.000000000000966</v>
      </c>
      <c r="D41">
        <f>C41*preliminaries!$C$13</f>
        <v>4829.8499785684844</v>
      </c>
      <c r="E41">
        <f>D41*(preliminaries!$B$5/preliminaries!$C$5)</f>
        <v>2404.1049711969863</v>
      </c>
      <c r="F41">
        <f>(D41-preliminaries!$C$13)*preliminaries!$F$2</f>
        <v>391.58427923113129</v>
      </c>
      <c r="G41">
        <f t="shared" si="0"/>
        <v>4438.265699337353</v>
      </c>
      <c r="H41">
        <f>preliminaries!$B$20+(E41-preliminaries!$B$20)*preliminaries!$F$2</f>
        <v>255.017521537493</v>
      </c>
      <c r="I41">
        <f t="shared" si="1"/>
        <v>2149.0874496594934</v>
      </c>
      <c r="J41">
        <f t="shared" si="10"/>
        <v>0.10607586798113962</v>
      </c>
      <c r="K41">
        <f t="shared" si="11"/>
        <v>8.1075867981140207E-2</v>
      </c>
      <c r="L41">
        <f t="shared" si="12"/>
        <v>0.76431962824528166</v>
      </c>
      <c r="M41" s="6">
        <f>(SUM(F41:I41))-preliminaries!$C$13</f>
        <v>7113.2087003012612</v>
      </c>
      <c r="N41" s="27">
        <f t="shared" si="2"/>
        <v>0.98330840455840496</v>
      </c>
      <c r="O41" s="6">
        <f t="shared" si="3"/>
        <v>0.89040326656769309</v>
      </c>
      <c r="P41">
        <f t="shared" si="9"/>
        <v>0.34536804989909387</v>
      </c>
    </row>
    <row r="42" spans="1:16" x14ac:dyDescent="0.2">
      <c r="B42">
        <v>0</v>
      </c>
      <c r="C42" t="e">
        <f t="shared" si="5"/>
        <v>#DIV/0!</v>
      </c>
      <c r="D42" t="e">
        <f>C42*preliminaries!$C$13</f>
        <v>#DIV/0!</v>
      </c>
      <c r="E42" t="e">
        <f>D42*(preliminaries!$B$5/preliminaries!$C$5)</f>
        <v>#DIV/0!</v>
      </c>
      <c r="F42" t="e">
        <f>(D42-preliminaries!$C$13)*preliminaries!$F$2</f>
        <v>#DIV/0!</v>
      </c>
      <c r="G42" t="e">
        <f t="shared" si="0"/>
        <v>#DIV/0!</v>
      </c>
      <c r="H42" t="e">
        <f>preliminaries!$B$20+(E42-preliminaries!$B$20)*preliminaries!$F$2</f>
        <v>#DIV/0!</v>
      </c>
      <c r="I42" t="e">
        <f t="shared" si="1"/>
        <v>#DIV/0!</v>
      </c>
      <c r="J42" t="e">
        <f t="shared" si="10"/>
        <v>#DIV/0!</v>
      </c>
      <c r="K42" t="e">
        <f t="shared" si="11"/>
        <v>#DIV/0!</v>
      </c>
      <c r="L42" t="e">
        <f t="shared" si="12"/>
        <v>#DIV/0!</v>
      </c>
      <c r="M42" s="6" t="e">
        <f>(SUM(F42:I42))-preliminaries!$C$13</f>
        <v>#DIV/0!</v>
      </c>
      <c r="N42" s="27" t="e">
        <f t="shared" si="2"/>
        <v>#DIV/0!</v>
      </c>
      <c r="O42" s="6" t="e">
        <f t="shared" si="3"/>
        <v>#DIV/0!</v>
      </c>
      <c r="P42" t="e">
        <f t="shared" si="9"/>
        <v>#DIV/0!</v>
      </c>
    </row>
    <row r="44" spans="1:16" x14ac:dyDescent="0.2">
      <c r="A44" s="41" t="s">
        <v>38</v>
      </c>
      <c r="B44" s="41">
        <f>0.023</f>
        <v>2.3E-2</v>
      </c>
      <c r="C44" s="41">
        <f t="shared" si="5"/>
        <v>43.478260869565219</v>
      </c>
      <c r="D44" s="41">
        <f>C44*preliminaries!$C$13</f>
        <v>5249.8369332264874</v>
      </c>
      <c r="E44" s="41">
        <f>D44*(preliminaries!$B$5/preliminaries!$C$5)</f>
        <v>2613.1575773879658</v>
      </c>
      <c r="F44" s="41">
        <f>(D44-preliminaries!$C$13)*preliminaries!$F$2</f>
        <v>426.50818373333988</v>
      </c>
      <c r="G44" s="41">
        <f>D44-F44</f>
        <v>4823.3287494931474</v>
      </c>
      <c r="H44" s="41">
        <f>preliminaries!$B$20+(E44-preliminaries!$B$20)*preliminaries!$F$2</f>
        <v>272.40123589713721</v>
      </c>
      <c r="I44" s="41">
        <f>E44-H44</f>
        <v>2340.7563414908286</v>
      </c>
      <c r="J44" s="41">
        <f t="shared" ref="J44" si="13">H44/(H44+I44)</f>
        <v>0.10424217745392199</v>
      </c>
      <c r="K44" s="41">
        <f t="shared" ref="K44" si="14">F44/(F44+G44)</f>
        <v>8.1242177453921982E-2</v>
      </c>
      <c r="L44" s="41">
        <f t="shared" ref="L44" si="15">K44/J44</f>
        <v>0.7793599427624518</v>
      </c>
      <c r="M44" s="42">
        <f>(SUM(F44:I44))-preliminaries!$C$13</f>
        <v>7742.2482611502437</v>
      </c>
      <c r="N44" s="43">
        <f>M44/(D44+E44)</f>
        <v>0.98464373219373214</v>
      </c>
      <c r="O44" s="42">
        <f>4*(H44-((H44+F44)/(E44+D44))*(H44+I44))^2/(SUM(D44:E44))</f>
        <v>0.81917100524229614</v>
      </c>
      <c r="P44" s="41">
        <f t="shared" ref="P44" si="16">CHIDIST(O44,1)</f>
        <v>0.36542265593065759</v>
      </c>
    </row>
  </sheetData>
  <pageMargins left="0.75" right="0.75" top="1" bottom="1" header="0.5" footer="0.5"/>
  <pageSetup paperSize="9"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60"/>
  <sheetViews>
    <sheetView workbookViewId="0">
      <selection activeCell="A2" sqref="A2:A42"/>
    </sheetView>
  </sheetViews>
  <sheetFormatPr baseColWidth="10" defaultRowHeight="16" x14ac:dyDescent="0.2"/>
  <cols>
    <col min="2" max="2" width="8" customWidth="1"/>
  </cols>
  <sheetData>
    <row r="1" spans="1:6" s="11" customFormat="1" ht="68" x14ac:dyDescent="0.2">
      <c r="A1" s="11" t="str">
        <f>computations!B1</f>
        <v>% of responders</v>
      </c>
      <c r="B1" s="11" t="s">
        <v>31</v>
      </c>
      <c r="C1" s="11" t="str">
        <f>computations!L1</f>
        <v>RR</v>
      </c>
      <c r="D1" s="11" t="str">
        <f>computations!N1</f>
        <v>ethical losses in % of enrolled patients</v>
      </c>
      <c r="E1" s="11" t="str">
        <f>computations!O1</f>
        <v>chi-square</v>
      </c>
      <c r="F1" s="11" t="str">
        <f>computations!P1</f>
        <v>p-value</v>
      </c>
    </row>
    <row r="2" spans="1:6" x14ac:dyDescent="0.2">
      <c r="A2" s="27">
        <f>computations!B2</f>
        <v>1</v>
      </c>
      <c r="B2" s="10">
        <f>(computations!D2+computations!E2)</f>
        <v>180.84887374413239</v>
      </c>
      <c r="C2">
        <f>computations!L2</f>
        <v>0</v>
      </c>
      <c r="D2" s="27">
        <f>computations!N2</f>
        <v>0.33233618233618228</v>
      </c>
      <c r="E2" s="6">
        <f>computations!O2</f>
        <v>35.616130662708535</v>
      </c>
      <c r="F2" s="34">
        <f>computations!P2</f>
        <v>2.4028953801386042E-9</v>
      </c>
    </row>
    <row r="3" spans="1:6" x14ac:dyDescent="0.2">
      <c r="A3" s="27">
        <f>computations!B3</f>
        <v>0.97499999999999998</v>
      </c>
      <c r="B3" s="10">
        <f>(computations!D3+computations!E3)</f>
        <v>185.48602435295635</v>
      </c>
      <c r="C3">
        <f>computations!L3</f>
        <v>2.1276362400061504E-3</v>
      </c>
      <c r="D3" s="27">
        <f>computations!N3</f>
        <v>0.34902777777777788</v>
      </c>
      <c r="E3" s="6">
        <f>computations!O3</f>
        <v>34.725727396140812</v>
      </c>
      <c r="F3" s="34">
        <f>computations!P3</f>
        <v>3.7958193587802203E-9</v>
      </c>
    </row>
    <row r="4" spans="1:6" x14ac:dyDescent="0.2">
      <c r="A4" s="27">
        <f>computations!B4</f>
        <v>0.95</v>
      </c>
      <c r="B4" s="10">
        <f>(computations!D4+computations!E4)</f>
        <v>190.36723552013936</v>
      </c>
      <c r="C4">
        <f>computations!L4</f>
        <v>4.3574942162125695E-3</v>
      </c>
      <c r="D4" s="27">
        <f>computations!N4</f>
        <v>0.3657193732193732</v>
      </c>
      <c r="E4" s="6">
        <f>computations!O4</f>
        <v>33.83532412957311</v>
      </c>
      <c r="F4" s="34">
        <f>computations!P4</f>
        <v>5.9979848329532207E-9</v>
      </c>
    </row>
    <row r="5" spans="1:6" x14ac:dyDescent="0.2">
      <c r="A5" s="27">
        <f>computations!B5</f>
        <v>0.92499999999999993</v>
      </c>
      <c r="B5" s="10">
        <f>(computations!D5+computations!E5)</f>
        <v>195.51229593960261</v>
      </c>
      <c r="C5">
        <f>computations!L5</f>
        <v>6.6971220786394064E-3</v>
      </c>
      <c r="D5" s="27">
        <f>computations!N5</f>
        <v>0.38241096866096869</v>
      </c>
      <c r="E5" s="6">
        <f>computations!O5</f>
        <v>32.944920863005393</v>
      </c>
      <c r="F5" s="34">
        <f>computations!P5</f>
        <v>9.4807111757635514E-9</v>
      </c>
    </row>
    <row r="6" spans="1:6" x14ac:dyDescent="0.2">
      <c r="A6" s="27">
        <f>computations!B6</f>
        <v>0.89999999999999991</v>
      </c>
      <c r="B6" s="10">
        <f>(computations!D6+computations!E6)</f>
        <v>200.94319304903604</v>
      </c>
      <c r="C6">
        <f>computations!L6</f>
        <v>9.1548298806097082E-3</v>
      </c>
      <c r="D6" s="27">
        <f>computations!N6</f>
        <v>0.39910256410256423</v>
      </c>
      <c r="E6" s="6">
        <f>computations!O6</f>
        <v>32.054517596437677</v>
      </c>
      <c r="F6" s="34">
        <f>computations!P6</f>
        <v>1.4990609302000213E-8</v>
      </c>
    </row>
    <row r="7" spans="1:6" x14ac:dyDescent="0.2">
      <c r="A7" s="27">
        <f>computations!B7</f>
        <v>0.87499999999999989</v>
      </c>
      <c r="B7" s="10">
        <f>(computations!D7+computations!E7)</f>
        <v>206.68442713615138</v>
      </c>
      <c r="C7">
        <f>computations!L7</f>
        <v>1.1739788199697447E-2</v>
      </c>
      <c r="D7" s="27">
        <f>computations!N7</f>
        <v>0.41579415954415971</v>
      </c>
      <c r="E7" s="6">
        <f>computations!O7</f>
        <v>31.164114329869957</v>
      </c>
      <c r="F7" s="34">
        <f>computations!P7</f>
        <v>2.3710905127709906E-8</v>
      </c>
    </row>
    <row r="8" spans="1:6" x14ac:dyDescent="0.2">
      <c r="A8" s="27">
        <f>computations!B8</f>
        <v>0.84999999999999987</v>
      </c>
      <c r="B8" s="10">
        <f>(computations!D8+computations!E8)</f>
        <v>212.76338087544991</v>
      </c>
      <c r="C8">
        <f>computations!L8</f>
        <v>1.4462142484407242E-2</v>
      </c>
      <c r="D8" s="27">
        <f>computations!N8</f>
        <v>0.4324857549857552</v>
      </c>
      <c r="E8" s="6">
        <f>computations!O8</f>
        <v>30.273711063302251</v>
      </c>
      <c r="F8" s="34">
        <f>computations!P8</f>
        <v>3.7517661167898454E-8</v>
      </c>
    </row>
    <row r="9" spans="1:6" x14ac:dyDescent="0.2">
      <c r="A9" s="27">
        <f>computations!B9</f>
        <v>0.82499999999999984</v>
      </c>
      <c r="B9" s="10">
        <f>(computations!D9+computations!E9)</f>
        <v>219.2107560534939</v>
      </c>
      <c r="C9">
        <f>computations!L9</f>
        <v>1.7333146131951482E-2</v>
      </c>
      <c r="D9" s="27">
        <f>computations!N9</f>
        <v>0.44917735042735074</v>
      </c>
      <c r="E9" s="6">
        <f>computations!O9</f>
        <v>29.383307796734531</v>
      </c>
      <c r="F9" s="34">
        <f>computations!P9</f>
        <v>5.9386969532098826E-8</v>
      </c>
    </row>
    <row r="10" spans="1:6" x14ac:dyDescent="0.2">
      <c r="A10" s="27">
        <f>computations!B10</f>
        <v>0.79999999999999982</v>
      </c>
      <c r="B10" s="10">
        <f>(computations!D10+computations!E10)</f>
        <v>226.06109218016556</v>
      </c>
      <c r="C10">
        <f>computations!L10</f>
        <v>2.036531597732524E-2</v>
      </c>
      <c r="D10" s="27">
        <f>computations!N10</f>
        <v>0.46586894586894601</v>
      </c>
      <c r="E10" s="6">
        <f>computations!O10</f>
        <v>28.492904530166818</v>
      </c>
      <c r="F10" s="34">
        <f>computations!P10</f>
        <v>9.4042497297820906E-8</v>
      </c>
    </row>
    <row r="11" spans="1:6" x14ac:dyDescent="0.2">
      <c r="A11" s="27">
        <f>computations!B11</f>
        <v>0.7749999999999998</v>
      </c>
      <c r="B11" s="10">
        <f>(computations!D11+computations!E11)</f>
        <v>233.35338547629993</v>
      </c>
      <c r="C11">
        <f>computations!L11</f>
        <v>2.3572614724108633E-2</v>
      </c>
      <c r="D11" s="27">
        <f>computations!N11</f>
        <v>0.48256054131054144</v>
      </c>
      <c r="E11" s="6">
        <f>computations!O11</f>
        <v>27.602501263599098</v>
      </c>
      <c r="F11" s="34">
        <f>computations!P11</f>
        <v>1.4898598296455318E-7</v>
      </c>
    </row>
    <row r="12" spans="1:6" x14ac:dyDescent="0.2">
      <c r="A12" s="27">
        <f>computations!B12</f>
        <v>0.74999999999999978</v>
      </c>
      <c r="B12" s="10">
        <f>(computations!D12+computations!E12)</f>
        <v>241.13183165884328</v>
      </c>
      <c r="C12">
        <f>computations!L12</f>
        <v>2.6970665925205094E-2</v>
      </c>
      <c r="D12" s="27">
        <f>computations!N12</f>
        <v>0.49925213675213692</v>
      </c>
      <c r="E12" s="6">
        <f>computations!O12</f>
        <v>26.712097997031393</v>
      </c>
      <c r="F12" s="34">
        <f>computations!P12</f>
        <v>2.3613840280549688E-7</v>
      </c>
    </row>
    <row r="13" spans="1:6" x14ac:dyDescent="0.2">
      <c r="A13" s="27">
        <f>computations!B13</f>
        <v>0.72499999999999976</v>
      </c>
      <c r="B13" s="10">
        <f>(computations!D13+computations!E13)</f>
        <v>249.44672240569997</v>
      </c>
      <c r="C13">
        <f>computations!L13</f>
        <v>3.0577008496797623E-2</v>
      </c>
      <c r="D13" s="27">
        <f>computations!N13</f>
        <v>0.51594373219373235</v>
      </c>
      <c r="E13" s="6">
        <f>computations!O13</f>
        <v>25.821694730463676</v>
      </c>
      <c r="F13" s="34">
        <f>computations!P13</f>
        <v>3.7445583181650561E-7</v>
      </c>
    </row>
    <row r="14" spans="1:6" x14ac:dyDescent="0.2">
      <c r="A14" s="27">
        <f>computations!B14</f>
        <v>0.69999999999999973</v>
      </c>
      <c r="B14" s="10">
        <f>(computations!D14+computations!E14)</f>
        <v>258.35553392018926</v>
      </c>
      <c r="C14">
        <f>computations!L14</f>
        <v>3.4411399515165891E-2</v>
      </c>
      <c r="D14" s="27">
        <f>computations!N14</f>
        <v>0.53263532763532784</v>
      </c>
      <c r="E14" s="6">
        <f>computations!O14</f>
        <v>24.931291463895963</v>
      </c>
      <c r="F14" s="34">
        <f>computations!P14</f>
        <v>5.9410257409931776E-7</v>
      </c>
    </row>
    <row r="15" spans="1:6" x14ac:dyDescent="0.2">
      <c r="A15" s="27">
        <f>computations!B15</f>
        <v>0.67499999999999971</v>
      </c>
      <c r="B15" s="10">
        <f>(computations!D15+computations!E15)</f>
        <v>267.92425739871481</v>
      </c>
      <c r="C15">
        <f>computations!L15</f>
        <v>3.8496176331415194E-2</v>
      </c>
      <c r="D15" s="27">
        <f>computations!N15</f>
        <v>0.5493269230769231</v>
      </c>
      <c r="E15" s="6">
        <f>computations!O15</f>
        <v>24.040888197328247</v>
      </c>
      <c r="F15" s="34">
        <f>computations!P15</f>
        <v>9.4311504766686552E-7</v>
      </c>
    </row>
    <row r="16" spans="1:6" x14ac:dyDescent="0.2">
      <c r="A16" s="27">
        <f>computations!B16</f>
        <v>0.64999999999999969</v>
      </c>
      <c r="B16" s="10">
        <f>(computations!D16+computations!E16)</f>
        <v>278.22903652943467</v>
      </c>
      <c r="C16">
        <f>computations!L16</f>
        <v>4.2856692018809046E-2</v>
      </c>
      <c r="D16" s="27">
        <f>computations!N16</f>
        <v>0.56601851851851881</v>
      </c>
      <c r="E16" s="6">
        <f>computations!O16</f>
        <v>23.15048493076053</v>
      </c>
      <c r="F16" s="34">
        <f>computations!P16</f>
        <v>1.4980542103164473E-6</v>
      </c>
    </row>
    <row r="17" spans="1:6" x14ac:dyDescent="0.2">
      <c r="A17" s="27">
        <f>computations!B17</f>
        <v>0.62499999999999967</v>
      </c>
      <c r="B17" s="10">
        <f>(computations!D17+computations!E17)</f>
        <v>289.35819799061198</v>
      </c>
      <c r="C17">
        <f>computations!L17</f>
        <v>4.7521842083775676E-2</v>
      </c>
      <c r="D17" s="27">
        <f>computations!N17</f>
        <v>0.58271011396011418</v>
      </c>
      <c r="E17" s="6">
        <f>computations!O17</f>
        <v>22.260081664192821</v>
      </c>
      <c r="F17" s="34">
        <f>computations!P17</f>
        <v>2.3810533237409659E-6</v>
      </c>
    </row>
    <row r="18" spans="1:6" x14ac:dyDescent="0.2">
      <c r="A18" s="27">
        <f>computations!B18</f>
        <v>0.59999999999999964</v>
      </c>
      <c r="B18" s="10">
        <f>(computations!D18+computations!E18)</f>
        <v>301.41478957355417</v>
      </c>
      <c r="C18">
        <f>computations!L18</f>
        <v>5.2524705563828426E-2</v>
      </c>
      <c r="D18" s="27">
        <f>computations!N18</f>
        <v>0.59940170940170978</v>
      </c>
      <c r="E18" s="6">
        <f>computations!O18</f>
        <v>21.369678397625108</v>
      </c>
      <c r="F18" s="34">
        <f>computations!P18</f>
        <v>3.7871349259340729E-6</v>
      </c>
    </row>
    <row r="19" spans="1:6" x14ac:dyDescent="0.2">
      <c r="A19" s="27">
        <f>computations!B19</f>
        <v>0.57499999999999962</v>
      </c>
      <c r="B19" s="10">
        <f>(computations!D19+computations!E19)</f>
        <v>314.5197804245783</v>
      </c>
      <c r="C19">
        <f>computations!L19</f>
        <v>5.7903330582720375E-2</v>
      </c>
      <c r="D19" s="27">
        <f>computations!N19</f>
        <v>0.61609330484330505</v>
      </c>
      <c r="E19" s="6">
        <f>computations!O19</f>
        <v>20.479275131057392</v>
      </c>
      <c r="F19" s="34">
        <f>computations!P19</f>
        <v>6.0280436562215581E-6</v>
      </c>
    </row>
    <row r="20" spans="1:6" x14ac:dyDescent="0.2">
      <c r="A20" s="27">
        <f>computations!B20</f>
        <v>0.5499999999999996</v>
      </c>
      <c r="B20" s="10">
        <f>(computations!D20+computations!E20)</f>
        <v>328.816134080241</v>
      </c>
      <c r="C20">
        <f>computations!L20</f>
        <v>6.3701703819913288E-2</v>
      </c>
      <c r="D20" s="27">
        <f>computations!N20</f>
        <v>0.63278490028490053</v>
      </c>
      <c r="E20" s="6">
        <f>computations!O20</f>
        <v>19.588871864489679</v>
      </c>
      <c r="F20" s="34">
        <f>computations!P20</f>
        <v>9.6026883511483377E-6</v>
      </c>
    </row>
    <row r="21" spans="1:6" x14ac:dyDescent="0.2">
      <c r="A21" s="27">
        <f>computations!B21</f>
        <v>0.52499999999999958</v>
      </c>
      <c r="B21" s="10">
        <f>(computations!D21+computations!E21)</f>
        <v>344.47404522691915</v>
      </c>
      <c r="C21">
        <f>computations!L21</f>
        <v>6.9970956168492304E-2</v>
      </c>
      <c r="D21" s="27">
        <f>computations!N21</f>
        <v>0.64947649572649579</v>
      </c>
      <c r="E21" s="6">
        <f>computations!O21</f>
        <v>18.698468597921966</v>
      </c>
      <c r="F21" s="34">
        <f>computations!P21</f>
        <v>1.531054009076669E-5</v>
      </c>
    </row>
    <row r="22" spans="1:6" x14ac:dyDescent="0.2">
      <c r="A22" s="27">
        <f>computations!B22</f>
        <v>0.49999999999999956</v>
      </c>
      <c r="B22" s="10">
        <f>(computations!D22+computations!E22)</f>
        <v>361.69774748826512</v>
      </c>
      <c r="C22">
        <f>computations!L22</f>
        <v>7.677087455480823E-2</v>
      </c>
      <c r="D22" s="27">
        <f>computations!N22</f>
        <v>0.66616809116809161</v>
      </c>
      <c r="E22" s="6">
        <f>computations!O22</f>
        <v>17.808065331354246</v>
      </c>
      <c r="F22" s="34">
        <f>computations!P22</f>
        <v>2.4434529253604071E-5</v>
      </c>
    </row>
    <row r="23" spans="1:6" x14ac:dyDescent="0.2">
      <c r="A23" s="27">
        <f>computations!B23</f>
        <v>0.47499999999999953</v>
      </c>
      <c r="B23" s="10">
        <f>(computations!D23+computations!E23)</f>
        <v>380.73447104027912</v>
      </c>
      <c r="C23">
        <f>computations!L23</f>
        <v>8.4171814631929243E-2</v>
      </c>
      <c r="D23" s="27">
        <f>computations!N23</f>
        <v>0.68285968660968688</v>
      </c>
      <c r="E23" s="6">
        <f>computations!O23</f>
        <v>16.917662064786537</v>
      </c>
      <c r="F23" s="34">
        <f>computations!P23</f>
        <v>3.9036668886282121E-5</v>
      </c>
    </row>
    <row r="24" spans="1:6" x14ac:dyDescent="0.2">
      <c r="A24" s="27">
        <f>computations!B24</f>
        <v>0.44999999999999951</v>
      </c>
      <c r="B24" s="10">
        <f>(computations!D24+computations!E24)</f>
        <v>401.88638609807242</v>
      </c>
      <c r="C24">
        <f>computations!L24</f>
        <v>9.2257144092343757E-2</v>
      </c>
      <c r="D24" s="27">
        <f>computations!N24</f>
        <v>0.69955128205128236</v>
      </c>
      <c r="E24" s="6">
        <f>computations!O24</f>
        <v>16.027258798218824</v>
      </c>
      <c r="F24" s="34">
        <f>computations!P24</f>
        <v>6.243704244396658E-5</v>
      </c>
    </row>
    <row r="25" spans="1:6" x14ac:dyDescent="0.2">
      <c r="A25" s="27">
        <f>computations!B25</f>
        <v>0.42499999999999949</v>
      </c>
      <c r="B25" s="10">
        <f>(computations!D25+computations!E25)</f>
        <v>425.52676175090028</v>
      </c>
      <c r="C25">
        <f>computations!L25</f>
        <v>0.10112639666387163</v>
      </c>
      <c r="D25" s="27">
        <f>computations!N25</f>
        <v>0.71624287749287785</v>
      </c>
      <c r="E25" s="6">
        <f>computations!O25</f>
        <v>15.136855531651108</v>
      </c>
      <c r="F25" s="34">
        <f>computations!P25</f>
        <v>9.9992039199823903E-5</v>
      </c>
    </row>
    <row r="26" spans="1:6" x14ac:dyDescent="0.2">
      <c r="A26" s="27">
        <f>computations!B26</f>
        <v>0.39999999999999947</v>
      </c>
      <c r="B26" s="10">
        <f>(computations!D26+computations!E26)</f>
        <v>452.12218436033169</v>
      </c>
      <c r="C26">
        <f>computations!L26</f>
        <v>0.11089939024390268</v>
      </c>
      <c r="D26" s="27">
        <f>computations!N26</f>
        <v>0.73293447293447334</v>
      </c>
      <c r="E26" s="6">
        <f>computations!O26</f>
        <v>14.246452265083391</v>
      </c>
      <c r="F26" s="34">
        <f>computations!P26</f>
        <v>1.6036281605365279E-4</v>
      </c>
    </row>
    <row r="27" spans="1:6" x14ac:dyDescent="0.2">
      <c r="A27" s="27">
        <f>computations!B27</f>
        <v>0.37499999999999944</v>
      </c>
      <c r="B27" s="10">
        <f>(computations!D27+computations!E27)</f>
        <v>482.26366331768713</v>
      </c>
      <c r="C27">
        <f>computations!L27</f>
        <v>0.12172167147697353</v>
      </c>
      <c r="D27" s="27">
        <f>computations!N27</f>
        <v>0.7496260683760686</v>
      </c>
      <c r="E27" s="6">
        <f>computations!O27</f>
        <v>13.35604899851568</v>
      </c>
      <c r="F27" s="34">
        <f>computations!P27</f>
        <v>2.5759041745427886E-4</v>
      </c>
    </row>
    <row r="28" spans="1:6" x14ac:dyDescent="0.2">
      <c r="A28" s="27">
        <f>computations!B28</f>
        <v>0.34999999999999942</v>
      </c>
      <c r="B28" s="10">
        <f>(computations!D28+computations!E28)</f>
        <v>516.7110678403792</v>
      </c>
      <c r="C28">
        <f>computations!L28</f>
        <v>0.13377181350448233</v>
      </c>
      <c r="D28" s="27">
        <f>computations!N28</f>
        <v>0.7663176638176642</v>
      </c>
      <c r="E28" s="6">
        <f>computations!O28</f>
        <v>12.465645731947969</v>
      </c>
      <c r="F28" s="34">
        <f>computations!P28</f>
        <v>4.1450520231683133E-4</v>
      </c>
    </row>
    <row r="29" spans="1:6" x14ac:dyDescent="0.2">
      <c r="A29" s="27">
        <f>computations!B29</f>
        <v>0.3249999999999994</v>
      </c>
      <c r="B29" s="10">
        <f>(computations!D29+computations!E29)</f>
        <v>556.45807305887001</v>
      </c>
      <c r="C29">
        <f>computations!L29</f>
        <v>0.14727134703517339</v>
      </c>
      <c r="D29" s="27">
        <f>computations!N29</f>
        <v>0.78300925925925968</v>
      </c>
      <c r="E29" s="6">
        <f>computations!O29</f>
        <v>11.575242465380251</v>
      </c>
      <c r="F29" s="34">
        <f>computations!P29</f>
        <v>6.6835720417319263E-4</v>
      </c>
    </row>
    <row r="30" spans="1:6" x14ac:dyDescent="0.2">
      <c r="A30" s="27">
        <f>computations!B30</f>
        <v>0.29999999999999938</v>
      </c>
      <c r="B30" s="10">
        <f>(computations!D30+computations!E30)</f>
        <v>602.82957914710926</v>
      </c>
      <c r="C30">
        <f>computations!L30</f>
        <v>0.16249850424793624</v>
      </c>
      <c r="D30" s="27">
        <f>computations!N30</f>
        <v>0.79970085470085517</v>
      </c>
      <c r="E30" s="6">
        <f>computations!O30</f>
        <v>10.684839198812538</v>
      </c>
      <c r="F30" s="34">
        <f>computations!P30</f>
        <v>1.0801712341547887E-3</v>
      </c>
    </row>
    <row r="31" spans="1:6" x14ac:dyDescent="0.2">
      <c r="A31" s="27">
        <f>computations!B31</f>
        <v>0.27499999999999936</v>
      </c>
      <c r="B31" s="10">
        <f>(computations!D31+computations!E31)</f>
        <v>657.63226816048302</v>
      </c>
      <c r="C31">
        <f>computations!L31</f>
        <v>0.17980760011505689</v>
      </c>
      <c r="D31" s="27">
        <f>computations!N31</f>
        <v>0.81639245014245043</v>
      </c>
      <c r="E31" s="6">
        <f>computations!O31</f>
        <v>9.7944359322448271</v>
      </c>
      <c r="F31" s="34">
        <f>computations!P31</f>
        <v>1.7504069548280319E-3</v>
      </c>
    </row>
    <row r="32" spans="1:6" x14ac:dyDescent="0.2">
      <c r="A32" s="27">
        <f>computations!B32</f>
        <v>0.24999999999999936</v>
      </c>
      <c r="B32" s="10">
        <f>(computations!D32+computations!E32)</f>
        <v>723.39549497653161</v>
      </c>
      <c r="C32">
        <f>computations!L32</f>
        <v>0.19965694682675872</v>
      </c>
      <c r="D32" s="27">
        <f>computations!N32</f>
        <v>0.83308404558404603</v>
      </c>
      <c r="E32" s="6">
        <f>computations!O32</f>
        <v>8.9040326656771089</v>
      </c>
      <c r="F32" s="34">
        <f>computations!P32</f>
        <v>2.8454157014544761E-3</v>
      </c>
    </row>
    <row r="33" spans="1:6" x14ac:dyDescent="0.2">
      <c r="A33" s="27">
        <f>computations!B33</f>
        <v>0.22499999999999937</v>
      </c>
      <c r="B33" s="10">
        <f>(computations!D33+computations!E33)</f>
        <v>803.77277219614643</v>
      </c>
      <c r="C33">
        <f>computations!L33</f>
        <v>0.22265003146866158</v>
      </c>
      <c r="D33" s="27">
        <f>computations!N33</f>
        <v>0.84977564102564151</v>
      </c>
      <c r="E33" s="6">
        <f>computations!O33</f>
        <v>8.0136293991093961</v>
      </c>
      <c r="F33" s="34">
        <f>computations!P33</f>
        <v>4.6426597730694829E-3</v>
      </c>
    </row>
    <row r="34" spans="1:6" x14ac:dyDescent="0.2">
      <c r="A34" s="27">
        <f>computations!B34</f>
        <v>0.19999999999999937</v>
      </c>
      <c r="B34" s="10">
        <f>(computations!D34+computations!E34)</f>
        <v>904.24436872066485</v>
      </c>
      <c r="C34">
        <f>computations!L34</f>
        <v>0.24959794146027736</v>
      </c>
      <c r="D34" s="27">
        <f>computations!N34</f>
        <v>0.86646723646723689</v>
      </c>
      <c r="E34" s="6">
        <f>computations!O34</f>
        <v>7.1232261325416877</v>
      </c>
      <c r="F34" s="34">
        <f>computations!P34</f>
        <v>7.609166091419697E-3</v>
      </c>
    </row>
    <row r="35" spans="1:6" x14ac:dyDescent="0.2">
      <c r="A35" s="27">
        <f>computations!B35</f>
        <v>0.17499999999999938</v>
      </c>
      <c r="B35" s="10">
        <f>(computations!D35+computations!E35)</f>
        <v>1033.4221356807604</v>
      </c>
      <c r="C35">
        <f>computations!L35</f>
        <v>0.2816170325078089</v>
      </c>
      <c r="D35" s="27">
        <f>computations!N35</f>
        <v>0.88315883190883238</v>
      </c>
      <c r="E35" s="6">
        <f>computations!O35</f>
        <v>6.2328228659739704</v>
      </c>
      <c r="F35" s="34">
        <f>computations!P35</f>
        <v>1.2540367040149597E-2</v>
      </c>
    </row>
    <row r="36" spans="1:6" x14ac:dyDescent="0.2">
      <c r="A36" s="27">
        <f>computations!B36</f>
        <v>0.14999999999999938</v>
      </c>
      <c r="B36" s="10">
        <f>(computations!D36+computations!E36)</f>
        <v>1205.6591582942212</v>
      </c>
      <c r="C36">
        <f>computations!L36</f>
        <v>0.32028746236768102</v>
      </c>
      <c r="D36" s="27">
        <f>computations!N36</f>
        <v>0.89985042735042764</v>
      </c>
      <c r="E36" s="6">
        <f>computations!O36</f>
        <v>5.3424195994062567</v>
      </c>
      <c r="F36" s="34">
        <f>computations!P36</f>
        <v>2.0812565955518475E-2</v>
      </c>
    </row>
    <row r="37" spans="1:6" x14ac:dyDescent="0.2">
      <c r="A37" s="27">
        <f>computations!B37</f>
        <v>0.12499999999999939</v>
      </c>
      <c r="B37" s="10">
        <f>(computations!D37+computations!E37)</f>
        <v>1446.7909899530664</v>
      </c>
      <c r="C37">
        <f>computations!L37</f>
        <v>0.36792197236521396</v>
      </c>
      <c r="D37" s="27">
        <f>computations!N37</f>
        <v>0.91654202279202324</v>
      </c>
      <c r="E37" s="6">
        <f>computations!O37</f>
        <v>4.4520163328385465</v>
      </c>
      <c r="F37" s="34">
        <f>computations!P37</f>
        <v>3.4860063657734454E-2</v>
      </c>
    </row>
    <row r="38" spans="1:6" x14ac:dyDescent="0.2">
      <c r="A38" s="27">
        <f>computations!B38</f>
        <v>9.9999999999999395E-2</v>
      </c>
      <c r="B38" s="10">
        <f>(computations!D38+computations!E38)</f>
        <v>1808.4887374413349</v>
      </c>
      <c r="C38">
        <f>computations!L38</f>
        <v>0.42804608972787611</v>
      </c>
      <c r="D38" s="27">
        <f>computations!N38</f>
        <v>0.93323361823361861</v>
      </c>
      <c r="E38" s="6">
        <f>computations!O38</f>
        <v>3.5616130662708319</v>
      </c>
      <c r="F38" s="34">
        <f>computations!P38</f>
        <v>5.9130251998052503E-2</v>
      </c>
    </row>
    <row r="39" spans="1:6" x14ac:dyDescent="0.2">
      <c r="A39" s="27">
        <f>computations!B39</f>
        <v>7.49999999999994E-2</v>
      </c>
      <c r="B39" s="10">
        <f>(computations!D39+computations!E39)</f>
        <v>2411.3183165884516</v>
      </c>
      <c r="C39">
        <f>computations!L39</f>
        <v>0.50631304225153628</v>
      </c>
      <c r="D39" s="27">
        <f>computations!N39</f>
        <v>0.94992521367521399</v>
      </c>
      <c r="E39" s="6">
        <f>computations!O39</f>
        <v>2.6712097997031203</v>
      </c>
      <c r="F39" s="34">
        <f>computations!P39</f>
        <v>0.10217832656612061</v>
      </c>
    </row>
    <row r="40" spans="1:6" x14ac:dyDescent="0.2">
      <c r="A40" s="27">
        <f>computations!B40</f>
        <v>4.9999999999999399E-2</v>
      </c>
      <c r="B40" s="10">
        <f>(computations!D40+computations!E40)</f>
        <v>3616.9774748826917</v>
      </c>
      <c r="C40">
        <f>computations!L40</f>
        <v>0.61239408539624818</v>
      </c>
      <c r="D40" s="27">
        <f>computations!N40</f>
        <v>0.96661680911680969</v>
      </c>
      <c r="E40" s="6">
        <f>computations!O40</f>
        <v>1.7808065331354053</v>
      </c>
      <c r="F40" s="34">
        <f>computations!P40</f>
        <v>0.1820503199984306</v>
      </c>
    </row>
    <row r="41" spans="1:6" x14ac:dyDescent="0.2">
      <c r="A41" s="27">
        <f>computations!B41</f>
        <v>2.4999999999999398E-2</v>
      </c>
      <c r="B41" s="10">
        <f>(computations!D41+computations!E41)</f>
        <v>7233.9549497654707</v>
      </c>
      <c r="C41">
        <f>computations!L41</f>
        <v>0.76431962824528166</v>
      </c>
      <c r="D41" s="27">
        <f>computations!N41</f>
        <v>0.98330840455840496</v>
      </c>
      <c r="E41" s="6">
        <f>computations!O41</f>
        <v>0.89040326656769309</v>
      </c>
      <c r="F41" s="34">
        <f>computations!P41</f>
        <v>0.34536804989909387</v>
      </c>
    </row>
    <row r="42" spans="1:6" x14ac:dyDescent="0.2">
      <c r="A42" s="27">
        <f>computations!B42</f>
        <v>0</v>
      </c>
      <c r="B42" s="10" t="e">
        <f>computations!D42+computations!E42</f>
        <v>#DIV/0!</v>
      </c>
      <c r="C42" t="e">
        <f>computations!L42</f>
        <v>#DIV/0!</v>
      </c>
      <c r="D42" s="27" t="e">
        <f>computations!N42</f>
        <v>#DIV/0!</v>
      </c>
      <c r="E42" s="6" t="e">
        <f>computations!O42</f>
        <v>#DIV/0!</v>
      </c>
      <c r="F42" s="34" t="e">
        <f>computations!P42</f>
        <v>#DIV/0!</v>
      </c>
    </row>
    <row r="43" spans="1:6" x14ac:dyDescent="0.2">
      <c r="B43" s="10"/>
      <c r="D43" s="27"/>
      <c r="E43" s="6"/>
    </row>
    <row r="44" spans="1:6" x14ac:dyDescent="0.2">
      <c r="B44" s="10"/>
      <c r="D44" s="27"/>
      <c r="E44" s="6"/>
    </row>
    <row r="45" spans="1:6" x14ac:dyDescent="0.2">
      <c r="B45" s="10"/>
      <c r="D45" s="27"/>
      <c r="E45" s="6"/>
    </row>
    <row r="46" spans="1:6" x14ac:dyDescent="0.2">
      <c r="B46" s="10"/>
      <c r="D46" s="27"/>
      <c r="E46" s="6"/>
    </row>
    <row r="47" spans="1:6" x14ac:dyDescent="0.2">
      <c r="B47" s="10"/>
      <c r="D47" s="27"/>
      <c r="E47" s="6"/>
    </row>
    <row r="48" spans="1:6" x14ac:dyDescent="0.2">
      <c r="B48" s="10"/>
      <c r="D48" s="27"/>
      <c r="E48" s="6"/>
    </row>
    <row r="49" spans="2:5" x14ac:dyDescent="0.2">
      <c r="B49" s="10"/>
      <c r="D49" s="27"/>
      <c r="E49" s="6"/>
    </row>
    <row r="50" spans="2:5" x14ac:dyDescent="0.2">
      <c r="B50" s="10"/>
      <c r="D50" s="27"/>
      <c r="E50" s="6"/>
    </row>
    <row r="51" spans="2:5" x14ac:dyDescent="0.2">
      <c r="B51" s="10"/>
      <c r="D51" s="27"/>
      <c r="E51" s="6"/>
    </row>
    <row r="52" spans="2:5" x14ac:dyDescent="0.2">
      <c r="B52" s="10"/>
      <c r="D52" s="27"/>
      <c r="E52" s="6"/>
    </row>
    <row r="53" spans="2:5" x14ac:dyDescent="0.2">
      <c r="B53" s="10"/>
      <c r="D53" s="27"/>
      <c r="E53" s="6"/>
    </row>
    <row r="54" spans="2:5" x14ac:dyDescent="0.2">
      <c r="B54" s="10"/>
      <c r="D54" s="27"/>
      <c r="E54" s="6"/>
    </row>
    <row r="55" spans="2:5" x14ac:dyDescent="0.2">
      <c r="B55" s="10"/>
      <c r="D55" s="27"/>
      <c r="E55" s="6"/>
    </row>
    <row r="56" spans="2:5" x14ac:dyDescent="0.2">
      <c r="B56" s="10"/>
      <c r="D56" s="27"/>
      <c r="E56" s="6"/>
    </row>
    <row r="57" spans="2:5" x14ac:dyDescent="0.2">
      <c r="B57" s="10"/>
      <c r="D57" s="27"/>
      <c r="E57" s="6"/>
    </row>
    <row r="58" spans="2:5" x14ac:dyDescent="0.2">
      <c r="B58" s="10"/>
      <c r="D58" s="27"/>
      <c r="E58" s="6"/>
    </row>
    <row r="59" spans="2:5" x14ac:dyDescent="0.2">
      <c r="B59" s="10"/>
      <c r="D59" s="27"/>
      <c r="E59" s="6"/>
    </row>
    <row r="60" spans="2:5" x14ac:dyDescent="0.2">
      <c r="B60" s="10"/>
      <c r="D60" s="27"/>
      <c r="E60" s="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60"/>
  <sheetViews>
    <sheetView workbookViewId="0">
      <selection activeCell="I14" sqref="I14"/>
    </sheetView>
  </sheetViews>
  <sheetFormatPr baseColWidth="10" defaultRowHeight="16" x14ac:dyDescent="0.2"/>
  <cols>
    <col min="1" max="1" width="10.83203125" style="45"/>
    <col min="2" max="2" width="8" customWidth="1"/>
  </cols>
  <sheetData>
    <row r="1" spans="1:5" s="11" customFormat="1" ht="68" x14ac:dyDescent="0.2">
      <c r="A1" s="44" t="str">
        <f>computations!B1</f>
        <v>% of responders</v>
      </c>
      <c r="B1" s="11" t="s">
        <v>31</v>
      </c>
      <c r="C1" s="11" t="str">
        <f>computations!L1</f>
        <v>RR</v>
      </c>
      <c r="D1" s="11" t="str">
        <f>computations!N1</f>
        <v>ethical losses in % of enrolled patients</v>
      </c>
      <c r="E1" s="11" t="str">
        <f>computations!O1</f>
        <v>chi-square</v>
      </c>
    </row>
    <row r="2" spans="1:5" x14ac:dyDescent="0.2">
      <c r="A2" s="45">
        <f>computations!B2</f>
        <v>1</v>
      </c>
      <c r="B2" s="10">
        <f>(computations!D2+computations!E2)</f>
        <v>180.84887374413239</v>
      </c>
      <c r="C2">
        <f>computations!L2</f>
        <v>0</v>
      </c>
      <c r="D2" s="27">
        <f>computations!N2</f>
        <v>0.33233618233618228</v>
      </c>
      <c r="E2" s="6">
        <f>computations!O2</f>
        <v>35.616130662708535</v>
      </c>
    </row>
    <row r="3" spans="1:5" x14ac:dyDescent="0.2">
      <c r="A3" s="45">
        <f>computations!B3</f>
        <v>0.97499999999999998</v>
      </c>
      <c r="B3" s="10">
        <f>(computations!D3+computations!E3)</f>
        <v>185.48602435295635</v>
      </c>
      <c r="C3">
        <f>computations!L3</f>
        <v>2.1276362400061504E-3</v>
      </c>
      <c r="D3" s="27">
        <f>computations!N3</f>
        <v>0.34902777777777788</v>
      </c>
      <c r="E3" s="6">
        <f>computations!O3</f>
        <v>34.725727396140812</v>
      </c>
    </row>
    <row r="4" spans="1:5" x14ac:dyDescent="0.2">
      <c r="A4" s="45">
        <f>computations!B4</f>
        <v>0.95</v>
      </c>
      <c r="B4" s="10">
        <f>(computations!D4+computations!E4)</f>
        <v>190.36723552013936</v>
      </c>
      <c r="C4">
        <f>computations!L4</f>
        <v>4.3574942162125695E-3</v>
      </c>
      <c r="D4" s="27">
        <f>computations!N4</f>
        <v>0.3657193732193732</v>
      </c>
      <c r="E4" s="6">
        <f>computations!O4</f>
        <v>33.83532412957311</v>
      </c>
    </row>
    <row r="5" spans="1:5" x14ac:dyDescent="0.2">
      <c r="A5" s="45">
        <f>computations!B5</f>
        <v>0.92499999999999993</v>
      </c>
      <c r="B5" s="10">
        <f>(computations!D5+computations!E5)</f>
        <v>195.51229593960261</v>
      </c>
      <c r="C5">
        <f>computations!L5</f>
        <v>6.6971220786394064E-3</v>
      </c>
      <c r="D5" s="27">
        <f>computations!N5</f>
        <v>0.38241096866096869</v>
      </c>
      <c r="E5" s="6">
        <f>computations!O5</f>
        <v>32.944920863005393</v>
      </c>
    </row>
    <row r="6" spans="1:5" x14ac:dyDescent="0.2">
      <c r="A6" s="45">
        <f>computations!B6</f>
        <v>0.89999999999999991</v>
      </c>
      <c r="B6" s="10">
        <f>(computations!D6+computations!E6)</f>
        <v>200.94319304903604</v>
      </c>
      <c r="C6">
        <f>computations!L6</f>
        <v>9.1548298806097082E-3</v>
      </c>
      <c r="D6" s="27">
        <f>computations!N6</f>
        <v>0.39910256410256423</v>
      </c>
      <c r="E6" s="6">
        <f>computations!O6</f>
        <v>32.054517596437677</v>
      </c>
    </row>
    <row r="7" spans="1:5" x14ac:dyDescent="0.2">
      <c r="A7" s="45">
        <f>computations!B7</f>
        <v>0.87499999999999989</v>
      </c>
      <c r="B7" s="10">
        <f>(computations!D7+computations!E7)</f>
        <v>206.68442713615138</v>
      </c>
      <c r="C7">
        <f>computations!L7</f>
        <v>1.1739788199697447E-2</v>
      </c>
      <c r="D7" s="27">
        <f>computations!N7</f>
        <v>0.41579415954415971</v>
      </c>
      <c r="E7" s="6">
        <f>computations!O7</f>
        <v>31.164114329869957</v>
      </c>
    </row>
    <row r="8" spans="1:5" x14ac:dyDescent="0.2">
      <c r="A8" s="45">
        <f>computations!B8</f>
        <v>0.84999999999999987</v>
      </c>
      <c r="B8" s="10">
        <f>(computations!D8+computations!E8)</f>
        <v>212.76338087544991</v>
      </c>
      <c r="C8">
        <f>computations!L8</f>
        <v>1.4462142484407242E-2</v>
      </c>
      <c r="D8" s="27">
        <f>computations!N8</f>
        <v>0.4324857549857552</v>
      </c>
      <c r="E8" s="6">
        <f>computations!O8</f>
        <v>30.273711063302251</v>
      </c>
    </row>
    <row r="9" spans="1:5" x14ac:dyDescent="0.2">
      <c r="A9" s="45">
        <f>computations!B9</f>
        <v>0.82499999999999984</v>
      </c>
      <c r="B9" s="10">
        <f>(computations!D9+computations!E9)</f>
        <v>219.2107560534939</v>
      </c>
      <c r="C9">
        <f>computations!L9</f>
        <v>1.7333146131951482E-2</v>
      </c>
      <c r="D9" s="27">
        <f>computations!N9</f>
        <v>0.44917735042735074</v>
      </c>
      <c r="E9" s="6">
        <f>computations!O9</f>
        <v>29.383307796734531</v>
      </c>
    </row>
    <row r="10" spans="1:5" x14ac:dyDescent="0.2">
      <c r="A10" s="45">
        <f>computations!B10</f>
        <v>0.79999999999999982</v>
      </c>
      <c r="B10" s="10">
        <f>(computations!D10+computations!E10)</f>
        <v>226.06109218016556</v>
      </c>
      <c r="C10">
        <f>computations!L10</f>
        <v>2.036531597732524E-2</v>
      </c>
      <c r="D10" s="27">
        <f>computations!N10</f>
        <v>0.46586894586894601</v>
      </c>
      <c r="E10" s="6">
        <f>computations!O10</f>
        <v>28.492904530166818</v>
      </c>
    </row>
    <row r="11" spans="1:5" x14ac:dyDescent="0.2">
      <c r="A11" s="45">
        <f>computations!B11</f>
        <v>0.7749999999999998</v>
      </c>
      <c r="B11" s="10">
        <f>(computations!D11+computations!E11)</f>
        <v>233.35338547629993</v>
      </c>
      <c r="C11">
        <f>computations!L11</f>
        <v>2.3572614724108633E-2</v>
      </c>
      <c r="D11" s="27">
        <f>computations!N11</f>
        <v>0.48256054131054144</v>
      </c>
      <c r="E11" s="6">
        <f>computations!O11</f>
        <v>27.602501263599098</v>
      </c>
    </row>
    <row r="12" spans="1:5" x14ac:dyDescent="0.2">
      <c r="A12" s="45">
        <f>computations!B12</f>
        <v>0.74999999999999978</v>
      </c>
      <c r="B12" s="10">
        <f>(computations!D12+computations!E12)</f>
        <v>241.13183165884328</v>
      </c>
      <c r="C12">
        <f>computations!L12</f>
        <v>2.6970665925205094E-2</v>
      </c>
      <c r="D12" s="27">
        <f>computations!N12</f>
        <v>0.49925213675213692</v>
      </c>
      <c r="E12" s="6">
        <f>computations!O12</f>
        <v>26.712097997031393</v>
      </c>
    </row>
    <row r="13" spans="1:5" x14ac:dyDescent="0.2">
      <c r="A13" s="45">
        <f>computations!B13</f>
        <v>0.72499999999999976</v>
      </c>
      <c r="B13" s="10">
        <f>(computations!D13+computations!E13)</f>
        <v>249.44672240569997</v>
      </c>
      <c r="C13">
        <f>computations!L13</f>
        <v>3.0577008496797623E-2</v>
      </c>
      <c r="D13" s="27">
        <f>computations!N13</f>
        <v>0.51594373219373235</v>
      </c>
      <c r="E13" s="6">
        <f>computations!O13</f>
        <v>25.821694730463676</v>
      </c>
    </row>
    <row r="14" spans="1:5" x14ac:dyDescent="0.2">
      <c r="A14" s="45">
        <f>computations!B14</f>
        <v>0.69999999999999973</v>
      </c>
      <c r="B14" s="10">
        <f>(computations!D14+computations!E14)</f>
        <v>258.35553392018926</v>
      </c>
      <c r="C14">
        <f>computations!L14</f>
        <v>3.4411399515165891E-2</v>
      </c>
      <c r="D14" s="27">
        <f>computations!N14</f>
        <v>0.53263532763532784</v>
      </c>
      <c r="E14" s="6">
        <f>computations!O14</f>
        <v>24.931291463895963</v>
      </c>
    </row>
    <row r="15" spans="1:5" x14ac:dyDescent="0.2">
      <c r="A15" s="45">
        <f>computations!B15</f>
        <v>0.67499999999999971</v>
      </c>
      <c r="B15" s="10">
        <f>(computations!D15+computations!E15)</f>
        <v>267.92425739871481</v>
      </c>
      <c r="C15">
        <f>computations!L15</f>
        <v>3.8496176331415194E-2</v>
      </c>
      <c r="D15" s="27">
        <f>computations!N15</f>
        <v>0.5493269230769231</v>
      </c>
      <c r="E15" s="6">
        <f>computations!O15</f>
        <v>24.040888197328247</v>
      </c>
    </row>
    <row r="16" spans="1:5" x14ac:dyDescent="0.2">
      <c r="A16" s="45">
        <f>computations!B16</f>
        <v>0.64999999999999969</v>
      </c>
      <c r="B16" s="10">
        <f>(computations!D16+computations!E16)</f>
        <v>278.22903652943467</v>
      </c>
      <c r="C16">
        <f>computations!L16</f>
        <v>4.2856692018809046E-2</v>
      </c>
      <c r="D16" s="27">
        <f>computations!N16</f>
        <v>0.56601851851851881</v>
      </c>
      <c r="E16" s="6">
        <f>computations!O16</f>
        <v>23.15048493076053</v>
      </c>
    </row>
    <row r="17" spans="1:5" x14ac:dyDescent="0.2">
      <c r="A17" s="45">
        <f>computations!B17</f>
        <v>0.62499999999999967</v>
      </c>
      <c r="B17" s="10">
        <f>(computations!D17+computations!E17)</f>
        <v>289.35819799061198</v>
      </c>
      <c r="C17">
        <f>computations!L17</f>
        <v>4.7521842083775676E-2</v>
      </c>
      <c r="D17" s="27">
        <f>computations!N17</f>
        <v>0.58271011396011418</v>
      </c>
      <c r="E17" s="6">
        <f>computations!O17</f>
        <v>22.260081664192821</v>
      </c>
    </row>
    <row r="18" spans="1:5" x14ac:dyDescent="0.2">
      <c r="A18" s="45">
        <f>computations!B18</f>
        <v>0.59999999999999964</v>
      </c>
      <c r="B18" s="10">
        <f>(computations!D18+computations!E18)</f>
        <v>301.41478957355417</v>
      </c>
      <c r="C18">
        <f>computations!L18</f>
        <v>5.2524705563828426E-2</v>
      </c>
      <c r="D18" s="27">
        <f>computations!N18</f>
        <v>0.59940170940170978</v>
      </c>
      <c r="E18" s="6">
        <f>computations!O18</f>
        <v>21.369678397625108</v>
      </c>
    </row>
    <row r="19" spans="1:5" x14ac:dyDescent="0.2">
      <c r="A19" s="45">
        <f>computations!B19</f>
        <v>0.57499999999999962</v>
      </c>
      <c r="B19" s="10">
        <f>(computations!D19+computations!E19)</f>
        <v>314.5197804245783</v>
      </c>
      <c r="C19">
        <f>computations!L19</f>
        <v>5.7903330582720375E-2</v>
      </c>
      <c r="D19" s="27">
        <f>computations!N19</f>
        <v>0.61609330484330505</v>
      </c>
      <c r="E19" s="6">
        <f>computations!O19</f>
        <v>20.479275131057392</v>
      </c>
    </row>
    <row r="20" spans="1:5" x14ac:dyDescent="0.2">
      <c r="A20" s="45">
        <f>computations!B20</f>
        <v>0.5499999999999996</v>
      </c>
      <c r="B20" s="10">
        <f>(computations!D20+computations!E20)</f>
        <v>328.816134080241</v>
      </c>
      <c r="C20">
        <f>computations!L20</f>
        <v>6.3701703819913288E-2</v>
      </c>
      <c r="D20" s="27">
        <f>computations!N20</f>
        <v>0.63278490028490053</v>
      </c>
      <c r="E20" s="6">
        <f>computations!O20</f>
        <v>19.588871864489679</v>
      </c>
    </row>
    <row r="21" spans="1:5" x14ac:dyDescent="0.2">
      <c r="A21" s="45">
        <f>computations!B21</f>
        <v>0.52499999999999958</v>
      </c>
      <c r="B21" s="10">
        <f>(computations!D21+computations!E21)</f>
        <v>344.47404522691915</v>
      </c>
      <c r="C21">
        <f>computations!L21</f>
        <v>6.9970956168492304E-2</v>
      </c>
      <c r="D21" s="27">
        <f>computations!N21</f>
        <v>0.64947649572649579</v>
      </c>
      <c r="E21" s="6">
        <f>computations!O21</f>
        <v>18.698468597921966</v>
      </c>
    </row>
    <row r="22" spans="1:5" x14ac:dyDescent="0.2">
      <c r="A22" s="45">
        <f>computations!B22</f>
        <v>0.49999999999999956</v>
      </c>
      <c r="B22" s="10">
        <f>(computations!D22+computations!E22)</f>
        <v>361.69774748826512</v>
      </c>
      <c r="C22">
        <f>computations!L22</f>
        <v>7.677087455480823E-2</v>
      </c>
      <c r="D22" s="27">
        <f>computations!N22</f>
        <v>0.66616809116809161</v>
      </c>
      <c r="E22" s="6">
        <f>computations!O22</f>
        <v>17.808065331354246</v>
      </c>
    </row>
    <row r="23" spans="1:5" x14ac:dyDescent="0.2">
      <c r="A23" s="45">
        <f>computations!B23</f>
        <v>0.47499999999999953</v>
      </c>
      <c r="B23" s="10">
        <f>(computations!D23+computations!E23)</f>
        <v>380.73447104027912</v>
      </c>
      <c r="C23">
        <f>computations!L23</f>
        <v>8.4171814631929243E-2</v>
      </c>
      <c r="D23" s="27">
        <f>computations!N23</f>
        <v>0.68285968660968688</v>
      </c>
      <c r="E23" s="6">
        <f>computations!O23</f>
        <v>16.917662064786537</v>
      </c>
    </row>
    <row r="24" spans="1:5" x14ac:dyDescent="0.2">
      <c r="A24" s="45">
        <f>computations!B24</f>
        <v>0.44999999999999951</v>
      </c>
      <c r="B24" s="10">
        <f>(computations!D24+computations!E24)</f>
        <v>401.88638609807242</v>
      </c>
      <c r="C24">
        <f>computations!L24</f>
        <v>9.2257144092343757E-2</v>
      </c>
      <c r="D24" s="27">
        <f>computations!N24</f>
        <v>0.69955128205128236</v>
      </c>
      <c r="E24" s="6">
        <f>computations!O24</f>
        <v>16.027258798218824</v>
      </c>
    </row>
    <row r="25" spans="1:5" x14ac:dyDescent="0.2">
      <c r="A25" s="45">
        <f>computations!B25</f>
        <v>0.42499999999999949</v>
      </c>
      <c r="B25" s="10">
        <f>(computations!D25+computations!E25)</f>
        <v>425.52676175090028</v>
      </c>
      <c r="C25">
        <f>computations!L25</f>
        <v>0.10112639666387163</v>
      </c>
      <c r="D25" s="27">
        <f>computations!N25</f>
        <v>0.71624287749287785</v>
      </c>
      <c r="E25" s="6">
        <f>computations!O25</f>
        <v>15.136855531651108</v>
      </c>
    </row>
    <row r="26" spans="1:5" x14ac:dyDescent="0.2">
      <c r="A26" s="45">
        <f>computations!B26</f>
        <v>0.39999999999999947</v>
      </c>
      <c r="B26" s="10">
        <f>(computations!D26+computations!E26)</f>
        <v>452.12218436033169</v>
      </c>
      <c r="C26">
        <f>computations!L26</f>
        <v>0.11089939024390268</v>
      </c>
      <c r="D26" s="27">
        <f>computations!N26</f>
        <v>0.73293447293447334</v>
      </c>
      <c r="E26" s="6">
        <f>computations!O26</f>
        <v>14.246452265083391</v>
      </c>
    </row>
    <row r="27" spans="1:5" x14ac:dyDescent="0.2">
      <c r="A27" s="45">
        <f>computations!B27</f>
        <v>0.37499999999999944</v>
      </c>
      <c r="B27" s="10">
        <f>(computations!D27+computations!E27)</f>
        <v>482.26366331768713</v>
      </c>
      <c r="C27">
        <f>computations!L27</f>
        <v>0.12172167147697353</v>
      </c>
      <c r="D27" s="27">
        <f>computations!N27</f>
        <v>0.7496260683760686</v>
      </c>
      <c r="E27" s="6">
        <f>computations!O27</f>
        <v>13.35604899851568</v>
      </c>
    </row>
    <row r="28" spans="1:5" x14ac:dyDescent="0.2">
      <c r="A28" s="45">
        <f>computations!B28</f>
        <v>0.34999999999999942</v>
      </c>
      <c r="B28" s="10">
        <f>(computations!D28+computations!E28)</f>
        <v>516.7110678403792</v>
      </c>
      <c r="C28">
        <f>computations!L28</f>
        <v>0.13377181350448233</v>
      </c>
      <c r="D28" s="27">
        <f>computations!N28</f>
        <v>0.7663176638176642</v>
      </c>
      <c r="E28" s="6">
        <f>computations!O28</f>
        <v>12.465645731947969</v>
      </c>
    </row>
    <row r="29" spans="1:5" x14ac:dyDescent="0.2">
      <c r="A29" s="45">
        <f>computations!B29</f>
        <v>0.3249999999999994</v>
      </c>
      <c r="B29" s="10">
        <f>(computations!D29+computations!E29)</f>
        <v>556.45807305887001</v>
      </c>
      <c r="C29">
        <f>computations!L29</f>
        <v>0.14727134703517339</v>
      </c>
      <c r="D29" s="27">
        <f>computations!N29</f>
        <v>0.78300925925925968</v>
      </c>
      <c r="E29" s="6">
        <f>computations!O29</f>
        <v>11.575242465380251</v>
      </c>
    </row>
    <row r="30" spans="1:5" x14ac:dyDescent="0.2">
      <c r="A30" s="45">
        <f>computations!B30</f>
        <v>0.29999999999999938</v>
      </c>
      <c r="B30" s="10">
        <f>(computations!D30+computations!E30)</f>
        <v>602.82957914710926</v>
      </c>
      <c r="C30">
        <f>computations!L30</f>
        <v>0.16249850424793624</v>
      </c>
      <c r="D30" s="27">
        <f>computations!N30</f>
        <v>0.79970085470085517</v>
      </c>
      <c r="E30" s="6">
        <f>computations!O30</f>
        <v>10.684839198812538</v>
      </c>
    </row>
    <row r="31" spans="1:5" x14ac:dyDescent="0.2">
      <c r="A31" s="45">
        <f>computations!B31</f>
        <v>0.27499999999999936</v>
      </c>
      <c r="B31" s="10">
        <f>(computations!D31+computations!E31)</f>
        <v>657.63226816048302</v>
      </c>
      <c r="C31">
        <f>computations!L31</f>
        <v>0.17980760011505689</v>
      </c>
      <c r="D31" s="27">
        <f>computations!N31</f>
        <v>0.81639245014245043</v>
      </c>
      <c r="E31" s="6">
        <f>computations!O31</f>
        <v>9.7944359322448271</v>
      </c>
    </row>
    <row r="32" spans="1:5" x14ac:dyDescent="0.2">
      <c r="A32" s="45">
        <f>computations!B32</f>
        <v>0.24999999999999936</v>
      </c>
      <c r="B32" s="10">
        <f>(computations!D32+computations!E32)</f>
        <v>723.39549497653161</v>
      </c>
      <c r="C32">
        <f>computations!L32</f>
        <v>0.19965694682675872</v>
      </c>
      <c r="D32" s="27">
        <f>computations!N32</f>
        <v>0.83308404558404603</v>
      </c>
      <c r="E32" s="6">
        <f>computations!O32</f>
        <v>8.9040326656771089</v>
      </c>
    </row>
    <row r="33" spans="1:5" x14ac:dyDescent="0.2">
      <c r="A33" s="45">
        <f>computations!B33</f>
        <v>0.22499999999999937</v>
      </c>
      <c r="B33" s="10">
        <f>(computations!D33+computations!E33)</f>
        <v>803.77277219614643</v>
      </c>
      <c r="C33">
        <f>computations!L33</f>
        <v>0.22265003146866158</v>
      </c>
      <c r="D33" s="27">
        <f>computations!N33</f>
        <v>0.84977564102564151</v>
      </c>
      <c r="E33" s="6">
        <f>computations!O33</f>
        <v>8.0136293991093961</v>
      </c>
    </row>
    <row r="34" spans="1:5" x14ac:dyDescent="0.2">
      <c r="A34" s="45">
        <f>computations!B34</f>
        <v>0.19999999999999937</v>
      </c>
      <c r="B34" s="10">
        <f>(computations!D34+computations!E34)</f>
        <v>904.24436872066485</v>
      </c>
      <c r="C34">
        <f>computations!L34</f>
        <v>0.24959794146027736</v>
      </c>
      <c r="D34" s="27">
        <f>computations!N34</f>
        <v>0.86646723646723689</v>
      </c>
      <c r="E34" s="6">
        <f>computations!O34</f>
        <v>7.1232261325416877</v>
      </c>
    </row>
    <row r="35" spans="1:5" x14ac:dyDescent="0.2">
      <c r="A35" s="45">
        <f>computations!B35</f>
        <v>0.17499999999999938</v>
      </c>
      <c r="B35" s="10">
        <f>(computations!D35+computations!E35)</f>
        <v>1033.4221356807604</v>
      </c>
      <c r="C35">
        <f>computations!L35</f>
        <v>0.2816170325078089</v>
      </c>
      <c r="D35" s="27">
        <f>computations!N35</f>
        <v>0.88315883190883238</v>
      </c>
      <c r="E35" s="6">
        <f>computations!O35</f>
        <v>6.2328228659739704</v>
      </c>
    </row>
    <row r="36" spans="1:5" x14ac:dyDescent="0.2">
      <c r="A36" s="45">
        <f>computations!B36</f>
        <v>0.14999999999999938</v>
      </c>
      <c r="B36" s="10">
        <f>(computations!D36+computations!E36)</f>
        <v>1205.6591582942212</v>
      </c>
      <c r="C36">
        <f>computations!L36</f>
        <v>0.32028746236768102</v>
      </c>
      <c r="D36" s="27">
        <f>computations!N36</f>
        <v>0.89985042735042764</v>
      </c>
      <c r="E36" s="6">
        <f>computations!O36</f>
        <v>5.3424195994062567</v>
      </c>
    </row>
    <row r="37" spans="1:5" x14ac:dyDescent="0.2">
      <c r="A37" s="45">
        <f>computations!B37</f>
        <v>0.12499999999999939</v>
      </c>
      <c r="B37" s="10">
        <f>(computations!D37+computations!E37)</f>
        <v>1446.7909899530664</v>
      </c>
      <c r="C37">
        <f>computations!L37</f>
        <v>0.36792197236521396</v>
      </c>
      <c r="D37" s="27">
        <f>computations!N37</f>
        <v>0.91654202279202324</v>
      </c>
      <c r="E37" s="6">
        <f>computations!O37</f>
        <v>4.4520163328385465</v>
      </c>
    </row>
    <row r="38" spans="1:5" x14ac:dyDescent="0.2">
      <c r="A38" s="45">
        <f>computations!B38</f>
        <v>9.9999999999999395E-2</v>
      </c>
      <c r="B38" s="10">
        <f>(computations!D38+computations!E38)</f>
        <v>1808.4887374413349</v>
      </c>
      <c r="C38">
        <f>computations!L38</f>
        <v>0.42804608972787611</v>
      </c>
      <c r="D38" s="27">
        <f>computations!N38</f>
        <v>0.93323361823361861</v>
      </c>
      <c r="E38" s="6">
        <f>computations!O38</f>
        <v>3.5616130662708319</v>
      </c>
    </row>
    <row r="39" spans="1:5" x14ac:dyDescent="0.2">
      <c r="A39" s="45">
        <f>computations!B39</f>
        <v>7.49999999999994E-2</v>
      </c>
      <c r="B39" s="10">
        <f>(computations!D39+computations!E39)</f>
        <v>2411.3183165884516</v>
      </c>
      <c r="C39">
        <f>computations!L39</f>
        <v>0.50631304225153628</v>
      </c>
      <c r="D39" s="27">
        <f>computations!N39</f>
        <v>0.94992521367521399</v>
      </c>
      <c r="E39" s="6">
        <f>computations!O39</f>
        <v>2.6712097997031203</v>
      </c>
    </row>
    <row r="40" spans="1:5" x14ac:dyDescent="0.2">
      <c r="A40" s="45">
        <f>computations!B40</f>
        <v>4.9999999999999399E-2</v>
      </c>
      <c r="B40" s="10">
        <f>(computations!D40+computations!E40)</f>
        <v>3616.9774748826917</v>
      </c>
      <c r="C40">
        <f>computations!L40</f>
        <v>0.61239408539624818</v>
      </c>
      <c r="D40" s="27">
        <f>computations!N40</f>
        <v>0.96661680911680969</v>
      </c>
      <c r="E40" s="6">
        <f>computations!O40</f>
        <v>1.7808065331354053</v>
      </c>
    </row>
    <row r="41" spans="1:5" x14ac:dyDescent="0.2">
      <c r="A41" s="45">
        <f>computations!B41</f>
        <v>2.4999999999999398E-2</v>
      </c>
      <c r="B41" s="10">
        <f>(computations!D41+computations!E41)</f>
        <v>7233.9549497654707</v>
      </c>
      <c r="C41">
        <f>computations!L41</f>
        <v>0.76431962824528166</v>
      </c>
      <c r="D41" s="27">
        <f>computations!N41</f>
        <v>0.98330840455840496</v>
      </c>
      <c r="E41" s="6">
        <f>computations!O41</f>
        <v>0.89040326656769309</v>
      </c>
    </row>
    <row r="42" spans="1:5" x14ac:dyDescent="0.2">
      <c r="A42" s="45">
        <f>computations!B42</f>
        <v>0</v>
      </c>
      <c r="B42" s="10" t="e">
        <f>computations!D42+computations!E42</f>
        <v>#DIV/0!</v>
      </c>
      <c r="C42" t="e">
        <f>computations!L42</f>
        <v>#DIV/0!</v>
      </c>
      <c r="D42" s="27" t="e">
        <f>computations!N42</f>
        <v>#DIV/0!</v>
      </c>
      <c r="E42" s="6" t="e">
        <f>computations!O42</f>
        <v>#DIV/0!</v>
      </c>
    </row>
    <row r="43" spans="1:5" x14ac:dyDescent="0.2">
      <c r="B43" s="10"/>
      <c r="D43" s="27"/>
      <c r="E43" s="6"/>
    </row>
    <row r="44" spans="1:5" x14ac:dyDescent="0.2">
      <c r="B44" s="10"/>
      <c r="D44" s="27"/>
      <c r="E44" s="6"/>
    </row>
    <row r="45" spans="1:5" x14ac:dyDescent="0.2">
      <c r="B45" s="10"/>
      <c r="D45" s="27"/>
      <c r="E45" s="6"/>
    </row>
    <row r="46" spans="1:5" x14ac:dyDescent="0.2">
      <c r="B46" s="10"/>
      <c r="D46" s="27"/>
      <c r="E46" s="6"/>
    </row>
    <row r="47" spans="1:5" x14ac:dyDescent="0.2">
      <c r="B47" s="10"/>
      <c r="D47" s="27"/>
      <c r="E47" s="6"/>
    </row>
    <row r="48" spans="1:5" x14ac:dyDescent="0.2">
      <c r="B48" s="10"/>
      <c r="D48" s="27"/>
      <c r="E48" s="6"/>
    </row>
    <row r="49" spans="2:5" x14ac:dyDescent="0.2">
      <c r="B49" s="10"/>
      <c r="D49" s="27"/>
      <c r="E49" s="6"/>
    </row>
    <row r="50" spans="2:5" x14ac:dyDescent="0.2">
      <c r="B50" s="10"/>
      <c r="D50" s="27"/>
      <c r="E50" s="6"/>
    </row>
    <row r="51" spans="2:5" x14ac:dyDescent="0.2">
      <c r="B51" s="10"/>
      <c r="D51" s="27"/>
      <c r="E51" s="6"/>
    </row>
    <row r="52" spans="2:5" x14ac:dyDescent="0.2">
      <c r="B52" s="10"/>
      <c r="D52" s="27"/>
      <c r="E52" s="6"/>
    </row>
    <row r="53" spans="2:5" x14ac:dyDescent="0.2">
      <c r="B53" s="10"/>
      <c r="D53" s="27"/>
      <c r="E53" s="6"/>
    </row>
    <row r="54" spans="2:5" x14ac:dyDescent="0.2">
      <c r="B54" s="10"/>
      <c r="D54" s="27"/>
      <c r="E54" s="6"/>
    </row>
    <row r="55" spans="2:5" x14ac:dyDescent="0.2">
      <c r="B55" s="10"/>
      <c r="D55" s="27"/>
      <c r="E55" s="6"/>
    </row>
    <row r="56" spans="2:5" x14ac:dyDescent="0.2">
      <c r="B56" s="10"/>
      <c r="D56" s="27"/>
      <c r="E56" s="6"/>
    </row>
    <row r="57" spans="2:5" x14ac:dyDescent="0.2">
      <c r="B57" s="10"/>
      <c r="D57" s="27"/>
      <c r="E57" s="6"/>
    </row>
    <row r="58" spans="2:5" x14ac:dyDescent="0.2">
      <c r="B58" s="10"/>
      <c r="D58" s="27"/>
      <c r="E58" s="6"/>
    </row>
    <row r="59" spans="2:5" x14ac:dyDescent="0.2">
      <c r="B59" s="10"/>
      <c r="D59" s="27"/>
      <c r="E59" s="6"/>
    </row>
    <row r="60" spans="2:5" x14ac:dyDescent="0.2">
      <c r="B60" s="10"/>
      <c r="D60" s="27"/>
      <c r="E60" s="6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46"/>
  <sheetViews>
    <sheetView workbookViewId="0">
      <selection activeCell="G10" sqref="G10"/>
    </sheetView>
  </sheetViews>
  <sheetFormatPr baseColWidth="10" defaultRowHeight="16" x14ac:dyDescent="0.2"/>
  <cols>
    <col min="1" max="1" width="10.83203125" style="45"/>
  </cols>
  <sheetData>
    <row r="1" spans="1:2" s="11" customFormat="1" ht="34" x14ac:dyDescent="0.2">
      <c r="A1" s="44" t="str">
        <f>'plot sample size'!A1</f>
        <v>% of responders</v>
      </c>
      <c r="B1" s="11" t="str">
        <f>'plot sample size'!C1</f>
        <v>RR</v>
      </c>
    </row>
    <row r="2" spans="1:2" x14ac:dyDescent="0.2">
      <c r="A2" s="46">
        <f>'plot sample size'!A2</f>
        <v>1</v>
      </c>
      <c r="B2" s="33">
        <f>'plot sample size'!C2</f>
        <v>0</v>
      </c>
    </row>
    <row r="3" spans="1:2" x14ac:dyDescent="0.2">
      <c r="A3" s="46">
        <f>'plot sample size'!A3</f>
        <v>0.97499999999999998</v>
      </c>
      <c r="B3" s="33">
        <f>'plot sample size'!C3</f>
        <v>2.1276362400061504E-3</v>
      </c>
    </row>
    <row r="4" spans="1:2" x14ac:dyDescent="0.2">
      <c r="A4" s="46">
        <f>'plot sample size'!A4</f>
        <v>0.95</v>
      </c>
      <c r="B4" s="33">
        <f>'plot sample size'!C4</f>
        <v>4.3574942162125695E-3</v>
      </c>
    </row>
    <row r="5" spans="1:2" x14ac:dyDescent="0.2">
      <c r="A5" s="46">
        <f>'plot sample size'!A5</f>
        <v>0.92499999999999993</v>
      </c>
      <c r="B5" s="33">
        <f>'plot sample size'!C5</f>
        <v>6.6971220786394064E-3</v>
      </c>
    </row>
    <row r="6" spans="1:2" x14ac:dyDescent="0.2">
      <c r="A6" s="46">
        <f>'plot sample size'!A6</f>
        <v>0.89999999999999991</v>
      </c>
      <c r="B6" s="33">
        <f>'plot sample size'!C6</f>
        <v>9.1548298806097082E-3</v>
      </c>
    </row>
    <row r="7" spans="1:2" x14ac:dyDescent="0.2">
      <c r="A7" s="46">
        <f>'plot sample size'!A7</f>
        <v>0.87499999999999989</v>
      </c>
      <c r="B7" s="33">
        <f>'plot sample size'!C7</f>
        <v>1.1739788199697447E-2</v>
      </c>
    </row>
    <row r="8" spans="1:2" x14ac:dyDescent="0.2">
      <c r="A8" s="46">
        <f>'plot sample size'!A8</f>
        <v>0.84999999999999987</v>
      </c>
      <c r="B8" s="33">
        <f>'plot sample size'!C8</f>
        <v>1.4462142484407242E-2</v>
      </c>
    </row>
    <row r="9" spans="1:2" x14ac:dyDescent="0.2">
      <c r="A9" s="46">
        <f>'plot sample size'!A9</f>
        <v>0.82499999999999984</v>
      </c>
      <c r="B9" s="33">
        <f>'plot sample size'!C9</f>
        <v>1.7333146131951482E-2</v>
      </c>
    </row>
    <row r="10" spans="1:2" x14ac:dyDescent="0.2">
      <c r="A10" s="46">
        <f>'plot sample size'!A10</f>
        <v>0.79999999999999982</v>
      </c>
      <c r="B10" s="33">
        <f>'plot sample size'!C10</f>
        <v>2.036531597732524E-2</v>
      </c>
    </row>
    <row r="11" spans="1:2" x14ac:dyDescent="0.2">
      <c r="A11" s="46">
        <f>'plot sample size'!A11</f>
        <v>0.7749999999999998</v>
      </c>
      <c r="B11" s="33">
        <f>'plot sample size'!C11</f>
        <v>2.3572614724108633E-2</v>
      </c>
    </row>
    <row r="12" spans="1:2" x14ac:dyDescent="0.2">
      <c r="A12" s="46">
        <f>'plot sample size'!A12</f>
        <v>0.74999999999999978</v>
      </c>
      <c r="B12" s="33">
        <f>'plot sample size'!C12</f>
        <v>2.6970665925205094E-2</v>
      </c>
    </row>
    <row r="13" spans="1:2" x14ac:dyDescent="0.2">
      <c r="A13" s="46">
        <f>'plot sample size'!A13</f>
        <v>0.72499999999999976</v>
      </c>
      <c r="B13" s="33">
        <f>'plot sample size'!C13</f>
        <v>3.0577008496797623E-2</v>
      </c>
    </row>
    <row r="14" spans="1:2" x14ac:dyDescent="0.2">
      <c r="A14" s="46">
        <f>'plot sample size'!A14</f>
        <v>0.69999999999999973</v>
      </c>
      <c r="B14" s="33">
        <f>'plot sample size'!C14</f>
        <v>3.4411399515165891E-2</v>
      </c>
    </row>
    <row r="15" spans="1:2" x14ac:dyDescent="0.2">
      <c r="A15" s="46">
        <f>'plot sample size'!A15</f>
        <v>0.67499999999999971</v>
      </c>
      <c r="B15" s="33">
        <f>'plot sample size'!C15</f>
        <v>3.8496176331415194E-2</v>
      </c>
    </row>
    <row r="16" spans="1:2" x14ac:dyDescent="0.2">
      <c r="A16" s="46">
        <f>'plot sample size'!A16</f>
        <v>0.64999999999999969</v>
      </c>
      <c r="B16" s="33">
        <f>'plot sample size'!C16</f>
        <v>4.2856692018809046E-2</v>
      </c>
    </row>
    <row r="17" spans="1:2" x14ac:dyDescent="0.2">
      <c r="A17" s="46">
        <f>'plot sample size'!A17</f>
        <v>0.62499999999999967</v>
      </c>
      <c r="B17" s="33">
        <f>'plot sample size'!C17</f>
        <v>4.7521842083775676E-2</v>
      </c>
    </row>
    <row r="18" spans="1:2" x14ac:dyDescent="0.2">
      <c r="A18" s="46">
        <f>'plot sample size'!A18</f>
        <v>0.59999999999999964</v>
      </c>
      <c r="B18" s="33">
        <f>'plot sample size'!C18</f>
        <v>5.2524705563828426E-2</v>
      </c>
    </row>
    <row r="19" spans="1:2" x14ac:dyDescent="0.2">
      <c r="A19" s="46">
        <f>'plot sample size'!A19</f>
        <v>0.57499999999999962</v>
      </c>
      <c r="B19" s="33">
        <f>'plot sample size'!C19</f>
        <v>5.7903330582720375E-2</v>
      </c>
    </row>
    <row r="20" spans="1:2" x14ac:dyDescent="0.2">
      <c r="A20" s="46">
        <f>'plot sample size'!A20</f>
        <v>0.5499999999999996</v>
      </c>
      <c r="B20" s="33">
        <f>'plot sample size'!C20</f>
        <v>6.3701703819913288E-2</v>
      </c>
    </row>
    <row r="21" spans="1:2" x14ac:dyDescent="0.2">
      <c r="A21" s="46">
        <f>'plot sample size'!A21</f>
        <v>0.52499999999999958</v>
      </c>
      <c r="B21" s="33">
        <f>'plot sample size'!C21</f>
        <v>6.9970956168492304E-2</v>
      </c>
    </row>
    <row r="22" spans="1:2" x14ac:dyDescent="0.2">
      <c r="A22" s="46">
        <f>'plot sample size'!A22</f>
        <v>0.49999999999999956</v>
      </c>
      <c r="B22" s="33">
        <f>'plot sample size'!C22</f>
        <v>7.677087455480823E-2</v>
      </c>
    </row>
    <row r="23" spans="1:2" x14ac:dyDescent="0.2">
      <c r="A23" s="46">
        <f>'plot sample size'!A23</f>
        <v>0.47499999999999953</v>
      </c>
      <c r="B23" s="33">
        <f>'plot sample size'!C23</f>
        <v>8.4171814631929243E-2</v>
      </c>
    </row>
    <row r="24" spans="1:2" x14ac:dyDescent="0.2">
      <c r="A24" s="46">
        <f>'plot sample size'!A24</f>
        <v>0.44999999999999951</v>
      </c>
      <c r="B24" s="33">
        <f>'plot sample size'!C24</f>
        <v>9.2257144092343757E-2</v>
      </c>
    </row>
    <row r="25" spans="1:2" x14ac:dyDescent="0.2">
      <c r="A25" s="46">
        <f>'plot sample size'!A25</f>
        <v>0.42499999999999949</v>
      </c>
      <c r="B25" s="33">
        <f>'plot sample size'!C25</f>
        <v>0.10112639666387163</v>
      </c>
    </row>
    <row r="26" spans="1:2" x14ac:dyDescent="0.2">
      <c r="A26" s="46">
        <f>'plot sample size'!A26</f>
        <v>0.39999999999999947</v>
      </c>
      <c r="B26" s="33">
        <f>'plot sample size'!C26</f>
        <v>0.11089939024390268</v>
      </c>
    </row>
    <row r="27" spans="1:2" x14ac:dyDescent="0.2">
      <c r="A27" s="46">
        <f>'plot sample size'!A27</f>
        <v>0.37499999999999944</v>
      </c>
      <c r="B27" s="33">
        <f>'plot sample size'!C27</f>
        <v>0.12172167147697353</v>
      </c>
    </row>
    <row r="28" spans="1:2" x14ac:dyDescent="0.2">
      <c r="A28" s="46">
        <f>'plot sample size'!A28</f>
        <v>0.34999999999999942</v>
      </c>
      <c r="B28" s="33">
        <f>'plot sample size'!C28</f>
        <v>0.13377181350448233</v>
      </c>
    </row>
    <row r="29" spans="1:2" x14ac:dyDescent="0.2">
      <c r="A29" s="46">
        <f>'plot sample size'!A29</f>
        <v>0.3249999999999994</v>
      </c>
      <c r="B29" s="33">
        <f>'plot sample size'!C29</f>
        <v>0.14727134703517339</v>
      </c>
    </row>
    <row r="30" spans="1:2" x14ac:dyDescent="0.2">
      <c r="A30" s="46">
        <f>'plot sample size'!A30</f>
        <v>0.29999999999999938</v>
      </c>
      <c r="B30" s="33">
        <f>'plot sample size'!C30</f>
        <v>0.16249850424793624</v>
      </c>
    </row>
    <row r="31" spans="1:2" x14ac:dyDescent="0.2">
      <c r="A31" s="46">
        <f>'plot sample size'!A31</f>
        <v>0.27499999999999936</v>
      </c>
      <c r="B31" s="33">
        <f>'plot sample size'!C31</f>
        <v>0.17980760011505689</v>
      </c>
    </row>
    <row r="32" spans="1:2" x14ac:dyDescent="0.2">
      <c r="A32" s="46">
        <f>'plot sample size'!A32</f>
        <v>0.24999999999999936</v>
      </c>
      <c r="B32" s="33">
        <f>'plot sample size'!C32</f>
        <v>0.19965694682675872</v>
      </c>
    </row>
    <row r="33" spans="1:2" x14ac:dyDescent="0.2">
      <c r="A33" s="46">
        <f>'plot sample size'!A33</f>
        <v>0.22499999999999937</v>
      </c>
      <c r="B33" s="33">
        <f>'plot sample size'!C33</f>
        <v>0.22265003146866158</v>
      </c>
    </row>
    <row r="34" spans="1:2" x14ac:dyDescent="0.2">
      <c r="A34" s="46">
        <f>'plot sample size'!A34</f>
        <v>0.19999999999999937</v>
      </c>
      <c r="B34" s="33">
        <f>'plot sample size'!C34</f>
        <v>0.24959794146027736</v>
      </c>
    </row>
    <row r="35" spans="1:2" x14ac:dyDescent="0.2">
      <c r="A35" s="46">
        <f>'plot sample size'!A35</f>
        <v>0.17499999999999938</v>
      </c>
      <c r="B35" s="33">
        <f>'plot sample size'!C35</f>
        <v>0.2816170325078089</v>
      </c>
    </row>
    <row r="36" spans="1:2" x14ac:dyDescent="0.2">
      <c r="A36" s="46">
        <f>'plot sample size'!A36</f>
        <v>0.14999999999999938</v>
      </c>
      <c r="B36" s="33">
        <f>'plot sample size'!C36</f>
        <v>0.32028746236768102</v>
      </c>
    </row>
    <row r="37" spans="1:2" x14ac:dyDescent="0.2">
      <c r="A37" s="46">
        <f>'plot sample size'!A37</f>
        <v>0.12499999999999939</v>
      </c>
      <c r="B37" s="33">
        <f>'plot sample size'!C37</f>
        <v>0.36792197236521396</v>
      </c>
    </row>
    <row r="38" spans="1:2" x14ac:dyDescent="0.2">
      <c r="A38" s="46">
        <f>'plot sample size'!A38</f>
        <v>9.9999999999999395E-2</v>
      </c>
      <c r="B38" s="33">
        <f>'plot sample size'!C38</f>
        <v>0.42804608972787611</v>
      </c>
    </row>
    <row r="39" spans="1:2" x14ac:dyDescent="0.2">
      <c r="A39" s="46">
        <f>'plot sample size'!A39</f>
        <v>7.49999999999994E-2</v>
      </c>
      <c r="B39" s="33">
        <f>'plot sample size'!C39</f>
        <v>0.50631304225153628</v>
      </c>
    </row>
    <row r="40" spans="1:2" x14ac:dyDescent="0.2">
      <c r="A40" s="46">
        <f>'plot sample size'!A40</f>
        <v>4.9999999999999399E-2</v>
      </c>
      <c r="B40" s="33">
        <f>'plot sample size'!C40</f>
        <v>0.61239408539624818</v>
      </c>
    </row>
    <row r="41" spans="1:2" x14ac:dyDescent="0.2">
      <c r="A41" s="46">
        <f>'plot sample size'!A41</f>
        <v>2.4999999999999398E-2</v>
      </c>
      <c r="B41" s="33">
        <f>'plot sample size'!C41</f>
        <v>0.76431962824528166</v>
      </c>
    </row>
    <row r="42" spans="1:2" x14ac:dyDescent="0.2">
      <c r="A42" s="44"/>
      <c r="B42" s="11"/>
    </row>
    <row r="43" spans="1:2" x14ac:dyDescent="0.2">
      <c r="A43" s="44"/>
      <c r="B43" s="11"/>
    </row>
    <row r="44" spans="1:2" x14ac:dyDescent="0.2">
      <c r="A44" s="44"/>
      <c r="B44" s="11"/>
    </row>
    <row r="45" spans="1:2" x14ac:dyDescent="0.2">
      <c r="A45" s="44"/>
      <c r="B45" s="11"/>
    </row>
    <row r="46" spans="1:2" x14ac:dyDescent="0.2">
      <c r="A46" s="44"/>
      <c r="B46" s="11"/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42"/>
  <sheetViews>
    <sheetView workbookViewId="0">
      <selection activeCell="K4" sqref="K4"/>
    </sheetView>
  </sheetViews>
  <sheetFormatPr baseColWidth="10" defaultRowHeight="16" x14ac:dyDescent="0.2"/>
  <cols>
    <col min="1" max="2" width="10.83203125" style="45"/>
  </cols>
  <sheetData>
    <row r="1" spans="1:2" s="11" customFormat="1" ht="68" x14ac:dyDescent="0.2">
      <c r="A1" s="44" t="str">
        <f>'plot sample size'!A1</f>
        <v>% of responders</v>
      </c>
      <c r="B1" s="44" t="str">
        <f>'plot sample size'!D1</f>
        <v>ethical losses in % of enrolled patients</v>
      </c>
    </row>
    <row r="2" spans="1:2" x14ac:dyDescent="0.2">
      <c r="A2" s="45">
        <f>'plot sample size'!A2</f>
        <v>1</v>
      </c>
      <c r="B2" s="45">
        <f>'plot sample size'!D2</f>
        <v>0.33233618233618228</v>
      </c>
    </row>
    <row r="3" spans="1:2" x14ac:dyDescent="0.2">
      <c r="A3" s="45">
        <f>'plot sample size'!A3</f>
        <v>0.97499999999999998</v>
      </c>
      <c r="B3" s="45">
        <f>'plot sample size'!D3</f>
        <v>0.34902777777777788</v>
      </c>
    </row>
    <row r="4" spans="1:2" x14ac:dyDescent="0.2">
      <c r="A4" s="45">
        <f>'plot sample size'!A4</f>
        <v>0.95</v>
      </c>
      <c r="B4" s="45">
        <f>'plot sample size'!D4</f>
        <v>0.3657193732193732</v>
      </c>
    </row>
    <row r="5" spans="1:2" x14ac:dyDescent="0.2">
      <c r="A5" s="45">
        <f>'plot sample size'!A5</f>
        <v>0.92499999999999993</v>
      </c>
      <c r="B5" s="45">
        <f>'plot sample size'!D5</f>
        <v>0.38241096866096869</v>
      </c>
    </row>
    <row r="6" spans="1:2" x14ac:dyDescent="0.2">
      <c r="A6" s="45">
        <f>'plot sample size'!A6</f>
        <v>0.89999999999999991</v>
      </c>
      <c r="B6" s="45">
        <f>'plot sample size'!D6</f>
        <v>0.39910256410256423</v>
      </c>
    </row>
    <row r="7" spans="1:2" x14ac:dyDescent="0.2">
      <c r="A7" s="45">
        <f>'plot sample size'!A7</f>
        <v>0.87499999999999989</v>
      </c>
      <c r="B7" s="45">
        <f>'plot sample size'!D7</f>
        <v>0.41579415954415971</v>
      </c>
    </row>
    <row r="8" spans="1:2" x14ac:dyDescent="0.2">
      <c r="A8" s="45">
        <f>'plot sample size'!A8</f>
        <v>0.84999999999999987</v>
      </c>
      <c r="B8" s="45">
        <f>'plot sample size'!D8</f>
        <v>0.4324857549857552</v>
      </c>
    </row>
    <row r="9" spans="1:2" x14ac:dyDescent="0.2">
      <c r="A9" s="45">
        <f>'plot sample size'!A9</f>
        <v>0.82499999999999984</v>
      </c>
      <c r="B9" s="45">
        <f>'plot sample size'!D9</f>
        <v>0.44917735042735074</v>
      </c>
    </row>
    <row r="10" spans="1:2" x14ac:dyDescent="0.2">
      <c r="A10" s="45">
        <f>'plot sample size'!A10</f>
        <v>0.79999999999999982</v>
      </c>
      <c r="B10" s="45">
        <f>'plot sample size'!D10</f>
        <v>0.46586894586894601</v>
      </c>
    </row>
    <row r="11" spans="1:2" x14ac:dyDescent="0.2">
      <c r="A11" s="45">
        <f>'plot sample size'!A11</f>
        <v>0.7749999999999998</v>
      </c>
      <c r="B11" s="45">
        <f>'plot sample size'!D11</f>
        <v>0.48256054131054144</v>
      </c>
    </row>
    <row r="12" spans="1:2" x14ac:dyDescent="0.2">
      <c r="A12" s="45">
        <f>'plot sample size'!A12</f>
        <v>0.74999999999999978</v>
      </c>
      <c r="B12" s="45">
        <f>'plot sample size'!D12</f>
        <v>0.49925213675213692</v>
      </c>
    </row>
    <row r="13" spans="1:2" x14ac:dyDescent="0.2">
      <c r="A13" s="45">
        <f>'plot sample size'!A13</f>
        <v>0.72499999999999976</v>
      </c>
      <c r="B13" s="45">
        <f>'plot sample size'!D13</f>
        <v>0.51594373219373235</v>
      </c>
    </row>
    <row r="14" spans="1:2" x14ac:dyDescent="0.2">
      <c r="A14" s="45">
        <f>'plot sample size'!A14</f>
        <v>0.69999999999999973</v>
      </c>
      <c r="B14" s="45">
        <f>'plot sample size'!D14</f>
        <v>0.53263532763532784</v>
      </c>
    </row>
    <row r="15" spans="1:2" x14ac:dyDescent="0.2">
      <c r="A15" s="45">
        <f>'plot sample size'!A15</f>
        <v>0.67499999999999971</v>
      </c>
      <c r="B15" s="45">
        <f>'plot sample size'!D15</f>
        <v>0.5493269230769231</v>
      </c>
    </row>
    <row r="16" spans="1:2" x14ac:dyDescent="0.2">
      <c r="A16" s="45">
        <f>'plot sample size'!A16</f>
        <v>0.64999999999999969</v>
      </c>
      <c r="B16" s="45">
        <f>'plot sample size'!D16</f>
        <v>0.56601851851851881</v>
      </c>
    </row>
    <row r="17" spans="1:2" x14ac:dyDescent="0.2">
      <c r="A17" s="45">
        <f>'plot sample size'!A17</f>
        <v>0.62499999999999967</v>
      </c>
      <c r="B17" s="45">
        <f>'plot sample size'!D17</f>
        <v>0.58271011396011418</v>
      </c>
    </row>
    <row r="18" spans="1:2" x14ac:dyDescent="0.2">
      <c r="A18" s="45">
        <f>'plot sample size'!A18</f>
        <v>0.59999999999999964</v>
      </c>
      <c r="B18" s="45">
        <f>'plot sample size'!D18</f>
        <v>0.59940170940170978</v>
      </c>
    </row>
    <row r="19" spans="1:2" x14ac:dyDescent="0.2">
      <c r="A19" s="45">
        <f>'plot sample size'!A19</f>
        <v>0.57499999999999962</v>
      </c>
      <c r="B19" s="45">
        <f>'plot sample size'!D19</f>
        <v>0.61609330484330505</v>
      </c>
    </row>
    <row r="20" spans="1:2" x14ac:dyDescent="0.2">
      <c r="A20" s="45">
        <f>'plot sample size'!A20</f>
        <v>0.5499999999999996</v>
      </c>
      <c r="B20" s="45">
        <f>'plot sample size'!D20</f>
        <v>0.63278490028490053</v>
      </c>
    </row>
    <row r="21" spans="1:2" x14ac:dyDescent="0.2">
      <c r="A21" s="45">
        <f>'plot sample size'!A21</f>
        <v>0.52499999999999958</v>
      </c>
      <c r="B21" s="45">
        <f>'plot sample size'!D21</f>
        <v>0.64947649572649579</v>
      </c>
    </row>
    <row r="22" spans="1:2" x14ac:dyDescent="0.2">
      <c r="A22" s="45">
        <f>'plot sample size'!A22</f>
        <v>0.49999999999999956</v>
      </c>
      <c r="B22" s="45">
        <f>'plot sample size'!D22</f>
        <v>0.66616809116809161</v>
      </c>
    </row>
    <row r="23" spans="1:2" x14ac:dyDescent="0.2">
      <c r="A23" s="45">
        <f>'plot sample size'!A23</f>
        <v>0.47499999999999953</v>
      </c>
      <c r="B23" s="45">
        <f>'plot sample size'!D23</f>
        <v>0.68285968660968688</v>
      </c>
    </row>
    <row r="24" spans="1:2" x14ac:dyDescent="0.2">
      <c r="A24" s="45">
        <f>'plot sample size'!A24</f>
        <v>0.44999999999999951</v>
      </c>
      <c r="B24" s="45">
        <f>'plot sample size'!D24</f>
        <v>0.69955128205128236</v>
      </c>
    </row>
    <row r="25" spans="1:2" x14ac:dyDescent="0.2">
      <c r="A25" s="45">
        <f>'plot sample size'!A25</f>
        <v>0.42499999999999949</v>
      </c>
      <c r="B25" s="45">
        <f>'plot sample size'!D25</f>
        <v>0.71624287749287785</v>
      </c>
    </row>
    <row r="26" spans="1:2" x14ac:dyDescent="0.2">
      <c r="A26" s="45">
        <f>'plot sample size'!A26</f>
        <v>0.39999999999999947</v>
      </c>
      <c r="B26" s="45">
        <f>'plot sample size'!D26</f>
        <v>0.73293447293447334</v>
      </c>
    </row>
    <row r="27" spans="1:2" x14ac:dyDescent="0.2">
      <c r="A27" s="45">
        <f>'plot sample size'!A27</f>
        <v>0.37499999999999944</v>
      </c>
      <c r="B27" s="45">
        <f>'plot sample size'!D27</f>
        <v>0.7496260683760686</v>
      </c>
    </row>
    <row r="28" spans="1:2" x14ac:dyDescent="0.2">
      <c r="A28" s="45">
        <f>'plot sample size'!A28</f>
        <v>0.34999999999999942</v>
      </c>
      <c r="B28" s="45">
        <f>'plot sample size'!D28</f>
        <v>0.7663176638176642</v>
      </c>
    </row>
    <row r="29" spans="1:2" x14ac:dyDescent="0.2">
      <c r="A29" s="45">
        <f>'plot sample size'!A29</f>
        <v>0.3249999999999994</v>
      </c>
      <c r="B29" s="45">
        <f>'plot sample size'!D29</f>
        <v>0.78300925925925968</v>
      </c>
    </row>
    <row r="30" spans="1:2" x14ac:dyDescent="0.2">
      <c r="A30" s="45">
        <f>'plot sample size'!A30</f>
        <v>0.29999999999999938</v>
      </c>
      <c r="B30" s="45">
        <f>'plot sample size'!D30</f>
        <v>0.79970085470085517</v>
      </c>
    </row>
    <row r="31" spans="1:2" x14ac:dyDescent="0.2">
      <c r="A31" s="45">
        <f>'plot sample size'!A31</f>
        <v>0.27499999999999936</v>
      </c>
      <c r="B31" s="45">
        <f>'plot sample size'!D31</f>
        <v>0.81639245014245043</v>
      </c>
    </row>
    <row r="32" spans="1:2" x14ac:dyDescent="0.2">
      <c r="A32" s="45">
        <f>'plot sample size'!A32</f>
        <v>0.24999999999999936</v>
      </c>
      <c r="B32" s="45">
        <f>'plot sample size'!D32</f>
        <v>0.83308404558404603</v>
      </c>
    </row>
    <row r="33" spans="1:2" x14ac:dyDescent="0.2">
      <c r="A33" s="45">
        <f>'plot sample size'!A33</f>
        <v>0.22499999999999937</v>
      </c>
      <c r="B33" s="45">
        <f>'plot sample size'!D33</f>
        <v>0.84977564102564151</v>
      </c>
    </row>
    <row r="34" spans="1:2" x14ac:dyDescent="0.2">
      <c r="A34" s="45">
        <f>'plot sample size'!A34</f>
        <v>0.19999999999999937</v>
      </c>
      <c r="B34" s="45">
        <f>'plot sample size'!D34</f>
        <v>0.86646723646723689</v>
      </c>
    </row>
    <row r="35" spans="1:2" x14ac:dyDescent="0.2">
      <c r="A35" s="45">
        <f>'plot sample size'!A35</f>
        <v>0.17499999999999938</v>
      </c>
      <c r="B35" s="45">
        <f>'plot sample size'!D35</f>
        <v>0.88315883190883238</v>
      </c>
    </row>
    <row r="36" spans="1:2" x14ac:dyDescent="0.2">
      <c r="A36" s="45">
        <f>'plot sample size'!A36</f>
        <v>0.14999999999999938</v>
      </c>
      <c r="B36" s="45">
        <f>'plot sample size'!D36</f>
        <v>0.89985042735042764</v>
      </c>
    </row>
    <row r="37" spans="1:2" x14ac:dyDescent="0.2">
      <c r="A37" s="45">
        <f>'plot sample size'!A37</f>
        <v>0.12499999999999939</v>
      </c>
      <c r="B37" s="45">
        <f>'plot sample size'!D37</f>
        <v>0.91654202279202324</v>
      </c>
    </row>
    <row r="38" spans="1:2" x14ac:dyDescent="0.2">
      <c r="A38" s="45">
        <f>'plot sample size'!A38</f>
        <v>9.9999999999999395E-2</v>
      </c>
      <c r="B38" s="45">
        <f>'plot sample size'!D38</f>
        <v>0.93323361823361861</v>
      </c>
    </row>
    <row r="39" spans="1:2" x14ac:dyDescent="0.2">
      <c r="A39" s="45">
        <f>'plot sample size'!A39</f>
        <v>7.49999999999994E-2</v>
      </c>
      <c r="B39" s="45">
        <f>'plot sample size'!D39</f>
        <v>0.94992521367521399</v>
      </c>
    </row>
    <row r="40" spans="1:2" x14ac:dyDescent="0.2">
      <c r="A40" s="45">
        <f>'plot sample size'!A40</f>
        <v>4.9999999999999399E-2</v>
      </c>
      <c r="B40" s="45">
        <f>'plot sample size'!D40</f>
        <v>0.96661680911680969</v>
      </c>
    </row>
    <row r="41" spans="1:2" x14ac:dyDescent="0.2">
      <c r="A41" s="45">
        <f>'plot sample size'!A41</f>
        <v>2.4999999999999398E-2</v>
      </c>
      <c r="B41" s="45">
        <f>'plot sample size'!D41</f>
        <v>0.98330840455840496</v>
      </c>
    </row>
    <row r="42" spans="1:2" x14ac:dyDescent="0.2">
      <c r="A42" s="45">
        <f>'plot sample size'!A42</f>
        <v>0</v>
      </c>
      <c r="B42" s="45" t="e">
        <f>'plot sample size'!D42</f>
        <v>#DIV/0!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41"/>
  <sheetViews>
    <sheetView tabSelected="1" workbookViewId="0">
      <selection activeCell="G14" sqref="G14"/>
    </sheetView>
  </sheetViews>
  <sheetFormatPr baseColWidth="10" defaultRowHeight="16" x14ac:dyDescent="0.2"/>
  <cols>
    <col min="1" max="1" width="10.83203125" style="45"/>
    <col min="2" max="2" width="10.83203125" style="10"/>
  </cols>
  <sheetData>
    <row r="1" spans="1:2" s="11" customFormat="1" ht="34" x14ac:dyDescent="0.2">
      <c r="A1" s="44" t="str">
        <f>'plot sample size'!A1</f>
        <v>% of responders</v>
      </c>
      <c r="B1" s="40" t="str">
        <f>'plot sample size'!E1</f>
        <v>chi-square</v>
      </c>
    </row>
    <row r="2" spans="1:2" x14ac:dyDescent="0.2">
      <c r="A2" s="45">
        <f>'plot sample size'!A2</f>
        <v>1</v>
      </c>
      <c r="B2" s="10">
        <f>'plot sample size'!E2</f>
        <v>35.616130662708535</v>
      </c>
    </row>
    <row r="3" spans="1:2" x14ac:dyDescent="0.2">
      <c r="A3" s="45">
        <f>'plot sample size'!A3</f>
        <v>0.97499999999999998</v>
      </c>
      <c r="B3" s="10">
        <f>'plot sample size'!E3</f>
        <v>34.725727396140812</v>
      </c>
    </row>
    <row r="4" spans="1:2" x14ac:dyDescent="0.2">
      <c r="A4" s="45">
        <f>'plot sample size'!A4</f>
        <v>0.95</v>
      </c>
      <c r="B4" s="10">
        <f>'plot sample size'!E4</f>
        <v>33.83532412957311</v>
      </c>
    </row>
    <row r="5" spans="1:2" x14ac:dyDescent="0.2">
      <c r="A5" s="45">
        <f>'plot sample size'!A5</f>
        <v>0.92499999999999993</v>
      </c>
      <c r="B5" s="10">
        <f>'plot sample size'!E5</f>
        <v>32.944920863005393</v>
      </c>
    </row>
    <row r="6" spans="1:2" x14ac:dyDescent="0.2">
      <c r="A6" s="45">
        <f>'plot sample size'!A6</f>
        <v>0.89999999999999991</v>
      </c>
      <c r="B6" s="10">
        <f>'plot sample size'!E6</f>
        <v>32.054517596437677</v>
      </c>
    </row>
    <row r="7" spans="1:2" x14ac:dyDescent="0.2">
      <c r="A7" s="45">
        <f>'plot sample size'!A7</f>
        <v>0.87499999999999989</v>
      </c>
      <c r="B7" s="10">
        <f>'plot sample size'!E7</f>
        <v>31.164114329869957</v>
      </c>
    </row>
    <row r="8" spans="1:2" x14ac:dyDescent="0.2">
      <c r="A8" s="45">
        <f>'plot sample size'!A8</f>
        <v>0.84999999999999987</v>
      </c>
      <c r="B8" s="10">
        <f>'plot sample size'!E8</f>
        <v>30.273711063302251</v>
      </c>
    </row>
    <row r="9" spans="1:2" x14ac:dyDescent="0.2">
      <c r="A9" s="45">
        <f>'plot sample size'!A9</f>
        <v>0.82499999999999984</v>
      </c>
      <c r="B9" s="10">
        <f>'plot sample size'!E9</f>
        <v>29.383307796734531</v>
      </c>
    </row>
    <row r="10" spans="1:2" x14ac:dyDescent="0.2">
      <c r="A10" s="45">
        <f>'plot sample size'!A10</f>
        <v>0.79999999999999982</v>
      </c>
      <c r="B10" s="10">
        <f>'plot sample size'!E10</f>
        <v>28.492904530166818</v>
      </c>
    </row>
    <row r="11" spans="1:2" x14ac:dyDescent="0.2">
      <c r="A11" s="45">
        <f>'plot sample size'!A11</f>
        <v>0.7749999999999998</v>
      </c>
      <c r="B11" s="10">
        <f>'plot sample size'!E11</f>
        <v>27.602501263599098</v>
      </c>
    </row>
    <row r="12" spans="1:2" x14ac:dyDescent="0.2">
      <c r="A12" s="45">
        <f>'plot sample size'!A12</f>
        <v>0.74999999999999978</v>
      </c>
      <c r="B12" s="10">
        <f>'plot sample size'!E12</f>
        <v>26.712097997031393</v>
      </c>
    </row>
    <row r="13" spans="1:2" x14ac:dyDescent="0.2">
      <c r="A13" s="45">
        <f>'plot sample size'!A13</f>
        <v>0.72499999999999976</v>
      </c>
      <c r="B13" s="10">
        <f>'plot sample size'!E13</f>
        <v>25.821694730463676</v>
      </c>
    </row>
    <row r="14" spans="1:2" x14ac:dyDescent="0.2">
      <c r="A14" s="45">
        <f>'plot sample size'!A14</f>
        <v>0.69999999999999973</v>
      </c>
      <c r="B14" s="10">
        <f>'plot sample size'!E14</f>
        <v>24.931291463895963</v>
      </c>
    </row>
    <row r="15" spans="1:2" x14ac:dyDescent="0.2">
      <c r="A15" s="45">
        <f>'plot sample size'!A15</f>
        <v>0.67499999999999971</v>
      </c>
      <c r="B15" s="10">
        <f>'plot sample size'!E15</f>
        <v>24.040888197328247</v>
      </c>
    </row>
    <row r="16" spans="1:2" x14ac:dyDescent="0.2">
      <c r="A16" s="45">
        <f>'plot sample size'!A16</f>
        <v>0.64999999999999969</v>
      </c>
      <c r="B16" s="10">
        <f>'plot sample size'!E16</f>
        <v>23.15048493076053</v>
      </c>
    </row>
    <row r="17" spans="1:2" x14ac:dyDescent="0.2">
      <c r="A17" s="45">
        <f>'plot sample size'!A17</f>
        <v>0.62499999999999967</v>
      </c>
      <c r="B17" s="10">
        <f>'plot sample size'!E17</f>
        <v>22.260081664192821</v>
      </c>
    </row>
    <row r="18" spans="1:2" x14ac:dyDescent="0.2">
      <c r="A18" s="45">
        <f>'plot sample size'!A18</f>
        <v>0.59999999999999964</v>
      </c>
      <c r="B18" s="10">
        <f>'plot sample size'!E18</f>
        <v>21.369678397625108</v>
      </c>
    </row>
    <row r="19" spans="1:2" x14ac:dyDescent="0.2">
      <c r="A19" s="45">
        <f>'plot sample size'!A19</f>
        <v>0.57499999999999962</v>
      </c>
      <c r="B19" s="10">
        <f>'plot sample size'!E19</f>
        <v>20.479275131057392</v>
      </c>
    </row>
    <row r="20" spans="1:2" x14ac:dyDescent="0.2">
      <c r="A20" s="45">
        <f>'plot sample size'!A20</f>
        <v>0.5499999999999996</v>
      </c>
      <c r="B20" s="10">
        <f>'plot sample size'!E20</f>
        <v>19.588871864489679</v>
      </c>
    </row>
    <row r="21" spans="1:2" x14ac:dyDescent="0.2">
      <c r="A21" s="45">
        <f>'plot sample size'!A21</f>
        <v>0.52499999999999958</v>
      </c>
      <c r="B21" s="10">
        <f>'plot sample size'!E21</f>
        <v>18.698468597921966</v>
      </c>
    </row>
    <row r="22" spans="1:2" x14ac:dyDescent="0.2">
      <c r="A22" s="45">
        <f>'plot sample size'!A22</f>
        <v>0.49999999999999956</v>
      </c>
      <c r="B22" s="10">
        <f>'plot sample size'!E22</f>
        <v>17.808065331354246</v>
      </c>
    </row>
    <row r="23" spans="1:2" x14ac:dyDescent="0.2">
      <c r="A23" s="45">
        <f>'plot sample size'!A23</f>
        <v>0.47499999999999953</v>
      </c>
      <c r="B23" s="10">
        <f>'plot sample size'!E23</f>
        <v>16.917662064786537</v>
      </c>
    </row>
    <row r="24" spans="1:2" x14ac:dyDescent="0.2">
      <c r="A24" s="45">
        <f>'plot sample size'!A24</f>
        <v>0.44999999999999951</v>
      </c>
      <c r="B24" s="10">
        <f>'plot sample size'!E24</f>
        <v>16.027258798218824</v>
      </c>
    </row>
    <row r="25" spans="1:2" x14ac:dyDescent="0.2">
      <c r="A25" s="45">
        <f>'plot sample size'!A25</f>
        <v>0.42499999999999949</v>
      </c>
      <c r="B25" s="10">
        <f>'plot sample size'!E25</f>
        <v>15.136855531651108</v>
      </c>
    </row>
    <row r="26" spans="1:2" x14ac:dyDescent="0.2">
      <c r="A26" s="45">
        <f>'plot sample size'!A26</f>
        <v>0.39999999999999947</v>
      </c>
      <c r="B26" s="10">
        <f>'plot sample size'!E26</f>
        <v>14.246452265083391</v>
      </c>
    </row>
    <row r="27" spans="1:2" x14ac:dyDescent="0.2">
      <c r="A27" s="45">
        <f>'plot sample size'!A27</f>
        <v>0.37499999999999944</v>
      </c>
      <c r="B27" s="10">
        <f>'plot sample size'!E27</f>
        <v>13.35604899851568</v>
      </c>
    </row>
    <row r="28" spans="1:2" x14ac:dyDescent="0.2">
      <c r="A28" s="45">
        <f>'plot sample size'!A28</f>
        <v>0.34999999999999942</v>
      </c>
      <c r="B28" s="10">
        <f>'plot sample size'!E28</f>
        <v>12.465645731947969</v>
      </c>
    </row>
    <row r="29" spans="1:2" x14ac:dyDescent="0.2">
      <c r="A29" s="45">
        <f>'plot sample size'!A29</f>
        <v>0.3249999999999994</v>
      </c>
      <c r="B29" s="10">
        <f>'plot sample size'!E29</f>
        <v>11.575242465380251</v>
      </c>
    </row>
    <row r="30" spans="1:2" x14ac:dyDescent="0.2">
      <c r="A30" s="45">
        <f>'plot sample size'!A30</f>
        <v>0.29999999999999938</v>
      </c>
      <c r="B30" s="10">
        <f>'plot sample size'!E30</f>
        <v>10.684839198812538</v>
      </c>
    </row>
    <row r="31" spans="1:2" x14ac:dyDescent="0.2">
      <c r="A31" s="45">
        <f>'plot sample size'!A31</f>
        <v>0.27499999999999936</v>
      </c>
      <c r="B31" s="10">
        <f>'plot sample size'!E31</f>
        <v>9.7944359322448271</v>
      </c>
    </row>
    <row r="32" spans="1:2" x14ac:dyDescent="0.2">
      <c r="A32" s="45">
        <f>'plot sample size'!A32</f>
        <v>0.24999999999999936</v>
      </c>
      <c r="B32" s="10">
        <f>'plot sample size'!E32</f>
        <v>8.9040326656771089</v>
      </c>
    </row>
    <row r="33" spans="1:2" x14ac:dyDescent="0.2">
      <c r="A33" s="45">
        <f>'plot sample size'!A33</f>
        <v>0.22499999999999937</v>
      </c>
      <c r="B33" s="10">
        <f>'plot sample size'!E33</f>
        <v>8.0136293991093961</v>
      </c>
    </row>
    <row r="34" spans="1:2" x14ac:dyDescent="0.2">
      <c r="A34" s="45">
        <f>'plot sample size'!A34</f>
        <v>0.19999999999999937</v>
      </c>
      <c r="B34" s="10">
        <f>'plot sample size'!E34</f>
        <v>7.1232261325416877</v>
      </c>
    </row>
    <row r="35" spans="1:2" x14ac:dyDescent="0.2">
      <c r="A35" s="45">
        <f>'plot sample size'!A35</f>
        <v>0.17499999999999938</v>
      </c>
      <c r="B35" s="10">
        <f>'plot sample size'!E35</f>
        <v>6.2328228659739704</v>
      </c>
    </row>
    <row r="36" spans="1:2" x14ac:dyDescent="0.2">
      <c r="A36" s="45">
        <f>'plot sample size'!A36</f>
        <v>0.14999999999999938</v>
      </c>
      <c r="B36" s="10">
        <f>'plot sample size'!E36</f>
        <v>5.3424195994062567</v>
      </c>
    </row>
    <row r="37" spans="1:2" x14ac:dyDescent="0.2">
      <c r="A37" s="45">
        <f>'plot sample size'!A37</f>
        <v>0.12499999999999939</v>
      </c>
      <c r="B37" s="10">
        <f>'plot sample size'!E37</f>
        <v>4.4520163328385465</v>
      </c>
    </row>
    <row r="38" spans="1:2" x14ac:dyDescent="0.2">
      <c r="A38" s="45">
        <f>'plot sample size'!A38</f>
        <v>9.9999999999999395E-2</v>
      </c>
      <c r="B38" s="10">
        <f>'plot sample size'!E38</f>
        <v>3.5616130662708319</v>
      </c>
    </row>
    <row r="39" spans="1:2" x14ac:dyDescent="0.2">
      <c r="A39" s="45">
        <f>'plot sample size'!A39</f>
        <v>7.49999999999994E-2</v>
      </c>
      <c r="B39" s="10">
        <f>'plot sample size'!E39</f>
        <v>2.6712097997031203</v>
      </c>
    </row>
    <row r="40" spans="1:2" x14ac:dyDescent="0.2">
      <c r="A40" s="45">
        <f>'plot sample size'!A40</f>
        <v>4.9999999999999399E-2</v>
      </c>
      <c r="B40" s="10">
        <f>'plot sample size'!E40</f>
        <v>1.7808065331354053</v>
      </c>
    </row>
    <row r="41" spans="1:2" x14ac:dyDescent="0.2">
      <c r="A41" s="45">
        <f>'plot sample size'!A41</f>
        <v>2.4999999999999398E-2</v>
      </c>
      <c r="B41" s="10">
        <f>'plot sample size'!E41</f>
        <v>0.89040326656769309</v>
      </c>
    </row>
  </sheetData>
  <pageMargins left="0.75" right="0.75" top="1" bottom="1" header="0.5" footer="0.5"/>
  <pageSetup paperSize="9" orientation="portrait" horizontalDpi="4294967292" verticalDpi="4294967292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42"/>
  <sheetViews>
    <sheetView topLeftCell="A5" workbookViewId="0">
      <selection activeCell="D5" sqref="D5"/>
    </sheetView>
  </sheetViews>
  <sheetFormatPr baseColWidth="10" defaultRowHeight="16" x14ac:dyDescent="0.2"/>
  <sheetData>
    <row r="1" spans="1:2" s="11" customFormat="1" ht="34" x14ac:dyDescent="0.2">
      <c r="A1" s="11" t="str">
        <f>computations!B1</f>
        <v>% of responders</v>
      </c>
      <c r="B1" s="11" t="str">
        <f>computations!P1</f>
        <v>p-value</v>
      </c>
    </row>
    <row r="2" spans="1:2" x14ac:dyDescent="0.2">
      <c r="A2" s="35">
        <f>computations!B2</f>
        <v>1</v>
      </c>
      <c r="B2">
        <f>computations!P2</f>
        <v>2.4028953801386042E-9</v>
      </c>
    </row>
    <row r="3" spans="1:2" x14ac:dyDescent="0.2">
      <c r="A3" s="35">
        <f>computations!B3</f>
        <v>0.97499999999999998</v>
      </c>
      <c r="B3">
        <f>computations!P3</f>
        <v>3.7958193587802203E-9</v>
      </c>
    </row>
    <row r="4" spans="1:2" x14ac:dyDescent="0.2">
      <c r="A4" s="35">
        <f>computations!B4</f>
        <v>0.95</v>
      </c>
      <c r="B4">
        <f>computations!P4</f>
        <v>5.9979848329532207E-9</v>
      </c>
    </row>
    <row r="5" spans="1:2" x14ac:dyDescent="0.2">
      <c r="A5" s="35">
        <f>computations!B5</f>
        <v>0.92499999999999993</v>
      </c>
      <c r="B5">
        <f>computations!P5</f>
        <v>9.4807111757635514E-9</v>
      </c>
    </row>
    <row r="6" spans="1:2" x14ac:dyDescent="0.2">
      <c r="A6" s="35">
        <f>computations!B6</f>
        <v>0.89999999999999991</v>
      </c>
      <c r="B6">
        <f>computations!P6</f>
        <v>1.4990609302000213E-8</v>
      </c>
    </row>
    <row r="7" spans="1:2" x14ac:dyDescent="0.2">
      <c r="A7" s="35">
        <f>computations!B7</f>
        <v>0.87499999999999989</v>
      </c>
      <c r="B7">
        <f>computations!P7</f>
        <v>2.3710905127709906E-8</v>
      </c>
    </row>
    <row r="8" spans="1:2" x14ac:dyDescent="0.2">
      <c r="A8" s="35">
        <f>computations!B8</f>
        <v>0.84999999999999987</v>
      </c>
      <c r="B8">
        <f>computations!P8</f>
        <v>3.7517661167898454E-8</v>
      </c>
    </row>
    <row r="9" spans="1:2" x14ac:dyDescent="0.2">
      <c r="A9" s="35">
        <f>computations!B9</f>
        <v>0.82499999999999984</v>
      </c>
      <c r="B9">
        <f>computations!P9</f>
        <v>5.9386969532098826E-8</v>
      </c>
    </row>
    <row r="10" spans="1:2" x14ac:dyDescent="0.2">
      <c r="A10" s="35">
        <f>computations!B10</f>
        <v>0.79999999999999982</v>
      </c>
      <c r="B10">
        <f>computations!P10</f>
        <v>9.4042497297820906E-8</v>
      </c>
    </row>
    <row r="11" spans="1:2" x14ac:dyDescent="0.2">
      <c r="A11" s="35">
        <f>computations!B11</f>
        <v>0.7749999999999998</v>
      </c>
      <c r="B11">
        <f>computations!P11</f>
        <v>1.4898598296455318E-7</v>
      </c>
    </row>
    <row r="12" spans="1:2" x14ac:dyDescent="0.2">
      <c r="A12" s="35">
        <f>computations!B12</f>
        <v>0.74999999999999978</v>
      </c>
      <c r="B12">
        <f>computations!P12</f>
        <v>2.3613840280549688E-7</v>
      </c>
    </row>
    <row r="13" spans="1:2" x14ac:dyDescent="0.2">
      <c r="A13" s="35">
        <f>computations!B13</f>
        <v>0.72499999999999976</v>
      </c>
      <c r="B13">
        <f>computations!P13</f>
        <v>3.7445583181650561E-7</v>
      </c>
    </row>
    <row r="14" spans="1:2" x14ac:dyDescent="0.2">
      <c r="A14" s="35">
        <f>computations!B14</f>
        <v>0.69999999999999973</v>
      </c>
      <c r="B14">
        <f>computations!P14</f>
        <v>5.9410257409931776E-7</v>
      </c>
    </row>
    <row r="15" spans="1:2" x14ac:dyDescent="0.2">
      <c r="A15" s="35">
        <f>computations!B15</f>
        <v>0.67499999999999971</v>
      </c>
      <c r="B15">
        <f>computations!P15</f>
        <v>9.4311504766686552E-7</v>
      </c>
    </row>
    <row r="16" spans="1:2" x14ac:dyDescent="0.2">
      <c r="A16" s="35">
        <f>computations!B16</f>
        <v>0.64999999999999969</v>
      </c>
      <c r="B16">
        <f>computations!P16</f>
        <v>1.4980542103164473E-6</v>
      </c>
    </row>
    <row r="17" spans="1:2" x14ac:dyDescent="0.2">
      <c r="A17" s="35">
        <f>computations!B17</f>
        <v>0.62499999999999967</v>
      </c>
      <c r="B17">
        <f>computations!P17</f>
        <v>2.3810533237409659E-6</v>
      </c>
    </row>
    <row r="18" spans="1:2" x14ac:dyDescent="0.2">
      <c r="A18" s="35">
        <f>computations!B18</f>
        <v>0.59999999999999964</v>
      </c>
      <c r="B18">
        <f>computations!P18</f>
        <v>3.7871349259340729E-6</v>
      </c>
    </row>
    <row r="19" spans="1:2" x14ac:dyDescent="0.2">
      <c r="A19" s="35">
        <f>computations!B19</f>
        <v>0.57499999999999962</v>
      </c>
      <c r="B19">
        <f>computations!P19</f>
        <v>6.0280436562215581E-6</v>
      </c>
    </row>
    <row r="20" spans="1:2" x14ac:dyDescent="0.2">
      <c r="A20" s="35">
        <f>computations!B20</f>
        <v>0.5499999999999996</v>
      </c>
      <c r="B20">
        <f>computations!P20</f>
        <v>9.6026883511483377E-6</v>
      </c>
    </row>
    <row r="21" spans="1:2" x14ac:dyDescent="0.2">
      <c r="A21" s="35">
        <f>computations!B21</f>
        <v>0.52499999999999958</v>
      </c>
      <c r="B21">
        <f>computations!P21</f>
        <v>1.531054009076669E-5</v>
      </c>
    </row>
    <row r="22" spans="1:2" x14ac:dyDescent="0.2">
      <c r="A22" s="35">
        <f>computations!B22</f>
        <v>0.49999999999999956</v>
      </c>
      <c r="B22">
        <f>computations!P22</f>
        <v>2.4434529253604071E-5</v>
      </c>
    </row>
    <row r="23" spans="1:2" x14ac:dyDescent="0.2">
      <c r="A23" s="35">
        <f>computations!B23</f>
        <v>0.47499999999999953</v>
      </c>
      <c r="B23">
        <f>computations!P23</f>
        <v>3.9036668886282121E-5</v>
      </c>
    </row>
    <row r="24" spans="1:2" x14ac:dyDescent="0.2">
      <c r="A24" s="35">
        <f>computations!B24</f>
        <v>0.44999999999999951</v>
      </c>
      <c r="B24">
        <f>computations!P24</f>
        <v>6.243704244396658E-5</v>
      </c>
    </row>
    <row r="25" spans="1:2" x14ac:dyDescent="0.2">
      <c r="A25" s="35">
        <f>computations!B25</f>
        <v>0.42499999999999949</v>
      </c>
      <c r="B25">
        <f>computations!P25</f>
        <v>9.9992039199823903E-5</v>
      </c>
    </row>
    <row r="26" spans="1:2" x14ac:dyDescent="0.2">
      <c r="A26" s="35">
        <f>computations!B26</f>
        <v>0.39999999999999947</v>
      </c>
      <c r="B26">
        <f>computations!P26</f>
        <v>1.6036281605365279E-4</v>
      </c>
    </row>
    <row r="27" spans="1:2" x14ac:dyDescent="0.2">
      <c r="A27" s="35">
        <f>computations!B27</f>
        <v>0.37499999999999944</v>
      </c>
      <c r="B27">
        <f>computations!P27</f>
        <v>2.5759041745427886E-4</v>
      </c>
    </row>
    <row r="28" spans="1:2" x14ac:dyDescent="0.2">
      <c r="A28" s="35">
        <f>computations!B28</f>
        <v>0.34999999999999942</v>
      </c>
      <c r="B28">
        <f>computations!P28</f>
        <v>4.1450520231683133E-4</v>
      </c>
    </row>
    <row r="29" spans="1:2" x14ac:dyDescent="0.2">
      <c r="A29" s="35">
        <f>computations!B29</f>
        <v>0.3249999999999994</v>
      </c>
      <c r="B29">
        <f>computations!P29</f>
        <v>6.6835720417319263E-4</v>
      </c>
    </row>
    <row r="30" spans="1:2" x14ac:dyDescent="0.2">
      <c r="A30" s="35">
        <f>computations!B30</f>
        <v>0.29999999999999938</v>
      </c>
      <c r="B30">
        <f>computations!P30</f>
        <v>1.0801712341547887E-3</v>
      </c>
    </row>
    <row r="31" spans="1:2" x14ac:dyDescent="0.2">
      <c r="A31" s="35">
        <f>computations!B31</f>
        <v>0.27499999999999936</v>
      </c>
      <c r="B31">
        <f>computations!P31</f>
        <v>1.7504069548280319E-3</v>
      </c>
    </row>
    <row r="32" spans="1:2" x14ac:dyDescent="0.2">
      <c r="A32" s="35">
        <f>computations!B32</f>
        <v>0.24999999999999936</v>
      </c>
      <c r="B32">
        <f>computations!P32</f>
        <v>2.8454157014544761E-3</v>
      </c>
    </row>
    <row r="33" spans="1:2" x14ac:dyDescent="0.2">
      <c r="A33" s="35">
        <f>computations!B33</f>
        <v>0.22499999999999937</v>
      </c>
      <c r="B33">
        <f>computations!P33</f>
        <v>4.6426597730694829E-3</v>
      </c>
    </row>
    <row r="34" spans="1:2" x14ac:dyDescent="0.2">
      <c r="A34" s="35">
        <f>computations!B34</f>
        <v>0.19999999999999937</v>
      </c>
      <c r="B34">
        <f>computations!P34</f>
        <v>7.609166091419697E-3</v>
      </c>
    </row>
    <row r="35" spans="1:2" x14ac:dyDescent="0.2">
      <c r="A35" s="35">
        <f>computations!B35</f>
        <v>0.17499999999999938</v>
      </c>
      <c r="B35">
        <f>computations!P35</f>
        <v>1.2540367040149597E-2</v>
      </c>
    </row>
    <row r="36" spans="1:2" x14ac:dyDescent="0.2">
      <c r="A36" s="35">
        <f>computations!B36</f>
        <v>0.14999999999999938</v>
      </c>
      <c r="B36">
        <f>computations!P36</f>
        <v>2.0812565955518475E-2</v>
      </c>
    </row>
    <row r="37" spans="1:2" x14ac:dyDescent="0.2">
      <c r="A37" s="35">
        <f>computations!B37</f>
        <v>0.12499999999999939</v>
      </c>
      <c r="B37">
        <f>computations!P37</f>
        <v>3.4860063657734454E-2</v>
      </c>
    </row>
    <row r="38" spans="1:2" x14ac:dyDescent="0.2">
      <c r="A38" s="35">
        <f>computations!B38</f>
        <v>9.9999999999999395E-2</v>
      </c>
      <c r="B38">
        <f>computations!P38</f>
        <v>5.9130251998052503E-2</v>
      </c>
    </row>
    <row r="39" spans="1:2" x14ac:dyDescent="0.2">
      <c r="A39" s="35">
        <f>computations!B39</f>
        <v>7.49999999999994E-2</v>
      </c>
      <c r="B39">
        <f>computations!P39</f>
        <v>0.10217832656612061</v>
      </c>
    </row>
    <row r="40" spans="1:2" x14ac:dyDescent="0.2">
      <c r="A40" s="35">
        <f>computations!B40</f>
        <v>4.9999999999999399E-2</v>
      </c>
      <c r="B40">
        <f>computations!P40</f>
        <v>0.1820503199984306</v>
      </c>
    </row>
    <row r="41" spans="1:2" x14ac:dyDescent="0.2">
      <c r="A41" s="35">
        <f>computations!B41</f>
        <v>2.4999999999999398E-2</v>
      </c>
      <c r="B41">
        <f>computations!P41</f>
        <v>0.34536804989909387</v>
      </c>
    </row>
    <row r="42" spans="1:2" x14ac:dyDescent="0.2">
      <c r="A42" s="35">
        <f>computations!B42</f>
        <v>0</v>
      </c>
      <c r="B42" t="e">
        <f>computations!P42</f>
        <v>#DIV/0!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11</vt:i4>
      </vt:variant>
    </vt:vector>
  </HeadingPairs>
  <TitlesOfParts>
    <vt:vector size="11" baseType="lpstr">
      <vt:lpstr>preliminaries</vt:lpstr>
      <vt:lpstr>théorie</vt:lpstr>
      <vt:lpstr>computations</vt:lpstr>
      <vt:lpstr>plot sample size (2)</vt:lpstr>
      <vt:lpstr>plot sample size</vt:lpstr>
      <vt:lpstr>plot RR</vt:lpstr>
      <vt:lpstr>plot ethical losses</vt:lpstr>
      <vt:lpstr>plot chi-square</vt:lpstr>
      <vt:lpstr>plot p-value</vt:lpstr>
      <vt:lpstr>plot EI vs p-value, RR, SS</vt:lpstr>
      <vt:lpstr>Sheet10</vt:lpstr>
    </vt:vector>
  </TitlesOfParts>
  <Company>Novadiscovery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Jean-Pierre Boissel</dc:creator>
  <cp:lastModifiedBy>Microsoft Office User</cp:lastModifiedBy>
  <dcterms:created xsi:type="dcterms:W3CDTF">2016-07-31T20:45:11Z</dcterms:created>
  <dcterms:modified xsi:type="dcterms:W3CDTF">2021-01-04T11:54:44Z</dcterms:modified>
</cp:coreProperties>
</file>