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nuscripts\Active\Reference Genomes\"/>
    </mc:Choice>
  </mc:AlternateContent>
  <xr:revisionPtr revIDLastSave="0" documentId="13_ncr:1_{869AF2BB-3222-4B3D-89DA-0C251A3D6165}" xr6:coauthVersionLast="44" xr6:coauthVersionMax="44" xr10:uidLastSave="{00000000-0000-0000-0000-000000000000}"/>
  <bookViews>
    <workbookView xWindow="255" yWindow="180" windowWidth="28275" windowHeight="14805" xr2:uid="{E431E68C-A700-46CC-B19F-F14427D268C1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" i="5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9" i="5"/>
  <c r="M10" i="5"/>
  <c r="M8" i="5"/>
  <c r="M7" i="5"/>
  <c r="M6" i="5"/>
  <c r="M5" i="5"/>
  <c r="M4" i="5"/>
  <c r="E48" i="5" l="1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F48" i="5" l="1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N43" i="5" l="1"/>
  <c r="N35" i="5"/>
  <c r="N44" i="5"/>
  <c r="N37" i="5"/>
  <c r="N45" i="5"/>
  <c r="N38" i="5"/>
  <c r="N46" i="5"/>
  <c r="N36" i="5"/>
  <c r="N41" i="5"/>
  <c r="N39" i="5"/>
  <c r="N47" i="5"/>
  <c r="N42" i="5"/>
  <c r="N4" i="5"/>
  <c r="N40" i="5"/>
  <c r="N48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<sst xmlns="http://schemas.openxmlformats.org/spreadsheetml/2006/main" count="64" uniqueCount="56">
  <si>
    <t>Covered Bases</t>
  </si>
  <si>
    <t>BantuKenya1</t>
  </si>
  <si>
    <t>BantuKenya2</t>
  </si>
  <si>
    <t>Biaka1</t>
  </si>
  <si>
    <t>Biaka2</t>
  </si>
  <si>
    <t>Dinka1</t>
  </si>
  <si>
    <t>Dinka2</t>
  </si>
  <si>
    <t>Dinka3</t>
  </si>
  <si>
    <t>Esan1</t>
  </si>
  <si>
    <t>Esan2</t>
  </si>
  <si>
    <t>Gambian1</t>
  </si>
  <si>
    <t>Gambian2</t>
  </si>
  <si>
    <t>Herero1</t>
  </si>
  <si>
    <t>Herero2</t>
  </si>
  <si>
    <t>Ju_hoan_North1</t>
  </si>
  <si>
    <t>Ju_hoan_North2</t>
  </si>
  <si>
    <t>Ju_hoan_North3</t>
  </si>
  <si>
    <t>Ju_hoan_North4</t>
  </si>
  <si>
    <t>Khomani_San1</t>
  </si>
  <si>
    <t>Khomani_San2</t>
  </si>
  <si>
    <t>Luhya1</t>
  </si>
  <si>
    <t>Luhya2</t>
  </si>
  <si>
    <t>Luo1</t>
  </si>
  <si>
    <t>Luo2</t>
  </si>
  <si>
    <t>Maasai1</t>
  </si>
  <si>
    <t>Maasai2</t>
  </si>
  <si>
    <t>Mandenka1</t>
  </si>
  <si>
    <t>Mandenka2</t>
  </si>
  <si>
    <t>Mandenka3</t>
  </si>
  <si>
    <t>Mbuti1</t>
  </si>
  <si>
    <t>Mbuti2</t>
  </si>
  <si>
    <t>Mbuti3</t>
  </si>
  <si>
    <t>Mbuti4</t>
  </si>
  <si>
    <t>Mende1</t>
  </si>
  <si>
    <t>Mende2</t>
  </si>
  <si>
    <t>Mozabite1</t>
  </si>
  <si>
    <t>Mozabite2</t>
  </si>
  <si>
    <t>Sahrawi1</t>
  </si>
  <si>
    <t>Sahrawi2</t>
  </si>
  <si>
    <t>Somali1</t>
  </si>
  <si>
    <t>Tswana1</t>
  </si>
  <si>
    <t>Tswana2</t>
  </si>
  <si>
    <t>Yoruba1</t>
  </si>
  <si>
    <t>Yoruba2</t>
  </si>
  <si>
    <t>Yoruba3</t>
  </si>
  <si>
    <t>NA12878</t>
  </si>
  <si>
    <t>Indels</t>
  </si>
  <si>
    <t>Novel SNPs</t>
  </si>
  <si>
    <t>Novel Indels</t>
  </si>
  <si>
    <t>GRCh38.p12</t>
  </si>
  <si>
    <t>Alignments</t>
  </si>
  <si>
    <t>Heterozygosity</t>
  </si>
  <si>
    <t>Total Sites</t>
  </si>
  <si>
    <t>Heterozygous Sites</t>
  </si>
  <si>
    <t>De novo</t>
  </si>
  <si>
    <t>Supplementary Table S2. Total variant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</si>
</sst>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3" fontId="0" fillId="0" borderId="0" xfId="0" applyNumberFormat="1"/>
    <xf numFmtId="0" fontId="0" fillId="0" borderId="1" xfId="0" quotePrefix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0BC5-CDE9-4BBD-B69D-63FCE66E7C81}">
  <dimension ref="A1:Q51"/>
  <sheetViews>
    <sheetView tabSelected="1" workbookViewId="0"/>
  </sheetViews>
  <sheetFormatPr defaultRowHeight="15" x14ac:dyDescent="0.25"/>
  <cols>
    <col min="1" max="1" width="15.5703125" bestFit="1" customWidth="1"/>
    <col min="2" max="2" width="12.7109375" bestFit="1" customWidth="1"/>
    <col min="3" max="3" width="14" bestFit="1" customWidth="1"/>
    <col min="4" max="4" width="10.140625" bestFit="1" customWidth="1"/>
    <col min="5" max="5" width="18.140625" bestFit="1" customWidth="1"/>
    <col min="6" max="6" width="14.42578125" bestFit="1" customWidth="1"/>
    <col min="8" max="8" width="11.140625" bestFit="1" customWidth="1"/>
    <col min="9" max="9" width="12.140625" style="1" bestFit="1" customWidth="1"/>
    <col min="10" max="10" width="12.7109375" bestFit="1" customWidth="1"/>
    <col min="11" max="11" width="14" bestFit="1" customWidth="1"/>
    <col min="12" max="12" width="10.140625" bestFit="1" customWidth="1"/>
    <col min="13" max="13" width="18.140625" bestFit="1" customWidth="1"/>
    <col min="14" max="14" width="14.42578125" bestFit="1" customWidth="1"/>
    <col min="15" max="15" width="9.140625" style="1"/>
    <col min="16" max="16" width="11.140625" style="1" bestFit="1" customWidth="1"/>
    <col min="17" max="17" width="12.140625" style="1" bestFit="1" customWidth="1"/>
  </cols>
  <sheetData>
    <row r="1" spans="1:17" x14ac:dyDescent="0.25">
      <c r="A1" s="29" t="s">
        <v>55</v>
      </c>
    </row>
    <row r="2" spans="1:17" x14ac:dyDescent="0.25">
      <c r="A2" s="10"/>
      <c r="B2" s="25" t="s">
        <v>49</v>
      </c>
      <c r="C2" s="26"/>
      <c r="D2" s="26"/>
      <c r="E2" s="26"/>
      <c r="F2" s="26"/>
      <c r="G2" s="26"/>
      <c r="H2" s="26"/>
      <c r="I2" s="27"/>
      <c r="J2" s="28" t="s">
        <v>54</v>
      </c>
      <c r="K2" s="26"/>
      <c r="L2" s="26"/>
      <c r="M2" s="26"/>
      <c r="N2" s="26"/>
      <c r="O2" s="26"/>
      <c r="P2" s="26"/>
      <c r="Q2" s="5"/>
    </row>
    <row r="3" spans="1:17" x14ac:dyDescent="0.25">
      <c r="A3" s="3"/>
      <c r="B3" s="16" t="s">
        <v>50</v>
      </c>
      <c r="C3" s="4" t="s">
        <v>0</v>
      </c>
      <c r="D3" s="4" t="s">
        <v>52</v>
      </c>
      <c r="E3" s="12" t="s">
        <v>53</v>
      </c>
      <c r="F3" s="12" t="s">
        <v>51</v>
      </c>
      <c r="G3" s="12" t="s">
        <v>46</v>
      </c>
      <c r="H3" s="12" t="s">
        <v>47</v>
      </c>
      <c r="I3" s="19" t="s">
        <v>48</v>
      </c>
      <c r="J3" s="3" t="s">
        <v>50</v>
      </c>
      <c r="K3" s="4" t="s">
        <v>0</v>
      </c>
      <c r="L3" s="4" t="s">
        <v>52</v>
      </c>
      <c r="M3" s="4" t="s">
        <v>53</v>
      </c>
      <c r="N3" s="4" t="s">
        <v>51</v>
      </c>
      <c r="O3" s="12" t="s">
        <v>46</v>
      </c>
      <c r="P3" s="4" t="s">
        <v>47</v>
      </c>
      <c r="Q3" s="4" t="s">
        <v>48</v>
      </c>
    </row>
    <row r="4" spans="1:17" x14ac:dyDescent="0.25">
      <c r="A4" s="23" t="s">
        <v>1</v>
      </c>
      <c r="B4" s="11">
        <v>1035120392</v>
      </c>
      <c r="C4" s="6">
        <v>2779884058</v>
      </c>
      <c r="D4" s="8">
        <v>3578949</v>
      </c>
      <c r="E4" s="6">
        <f>1120660+1122037+1239</f>
        <v>2243936</v>
      </c>
      <c r="F4" s="17">
        <f t="shared" ref="F4:F48" si="0">E4/C4</f>
        <v>8.0720488811120053E-4</v>
      </c>
      <c r="G4" s="6">
        <v>34814</v>
      </c>
      <c r="H4" s="6">
        <v>16330</v>
      </c>
      <c r="I4" s="15">
        <v>11845</v>
      </c>
      <c r="J4" s="6">
        <v>904504758</v>
      </c>
      <c r="K4" s="2">
        <v>2590768552</v>
      </c>
      <c r="L4" s="8">
        <v>1638483</v>
      </c>
      <c r="M4" s="2">
        <f>818870+816383+2</f>
        <v>1635255</v>
      </c>
      <c r="N4" s="18">
        <f t="shared" ref="N4:N48" si="1">M4/K4</f>
        <v>6.3118529007063541E-4</v>
      </c>
      <c r="O4" s="2">
        <v>308</v>
      </c>
      <c r="P4" s="2">
        <v>18281</v>
      </c>
      <c r="Q4" s="2">
        <v>106</v>
      </c>
    </row>
    <row r="5" spans="1:17" x14ac:dyDescent="0.25">
      <c r="A5" s="13" t="s">
        <v>2</v>
      </c>
      <c r="B5" s="11">
        <v>835098970</v>
      </c>
      <c r="C5" s="6">
        <v>2760434180</v>
      </c>
      <c r="D5" s="8">
        <v>3585625</v>
      </c>
      <c r="E5" s="6">
        <f>1142119+1142040+1233</f>
        <v>2285392</v>
      </c>
      <c r="F5" s="17">
        <f t="shared" si="0"/>
        <v>8.2791033981473164E-4</v>
      </c>
      <c r="G5" s="6">
        <v>28526</v>
      </c>
      <c r="H5" s="6">
        <v>18071</v>
      </c>
      <c r="I5" s="15">
        <v>9545</v>
      </c>
      <c r="J5" s="6">
        <v>696541302</v>
      </c>
      <c r="K5" s="2">
        <v>2434876556</v>
      </c>
      <c r="L5" s="8">
        <v>1613028</v>
      </c>
      <c r="M5" s="2">
        <f>804998+804808+1</f>
        <v>1609807</v>
      </c>
      <c r="N5" s="18">
        <f t="shared" si="1"/>
        <v>6.6114522152391198E-4</v>
      </c>
      <c r="O5" s="2">
        <v>422</v>
      </c>
      <c r="P5" s="2">
        <v>16825</v>
      </c>
      <c r="Q5" s="2">
        <v>168</v>
      </c>
    </row>
    <row r="6" spans="1:17" x14ac:dyDescent="0.25">
      <c r="A6" s="24" t="s">
        <v>3</v>
      </c>
      <c r="B6" s="11">
        <v>963989752</v>
      </c>
      <c r="C6" s="6">
        <v>2775998232</v>
      </c>
      <c r="D6" s="8">
        <v>3781714</v>
      </c>
      <c r="E6" s="6">
        <f>1169264+1168416+1439</f>
        <v>2339119</v>
      </c>
      <c r="F6" s="17">
        <f t="shared" si="0"/>
        <v>8.4262265481154668E-4</v>
      </c>
      <c r="G6" s="6">
        <v>35805</v>
      </c>
      <c r="H6" s="6">
        <v>19939</v>
      </c>
      <c r="I6" s="15">
        <v>12122</v>
      </c>
      <c r="J6" s="6">
        <v>813548088</v>
      </c>
      <c r="K6" s="2">
        <v>2471737428</v>
      </c>
      <c r="L6" s="8">
        <v>1654226</v>
      </c>
      <c r="M6" s="2">
        <f>827809+823045+1</f>
        <v>1650855</v>
      </c>
      <c r="N6" s="18">
        <f t="shared" si="1"/>
        <v>6.6789254445031611E-4</v>
      </c>
      <c r="O6" s="2">
        <v>326</v>
      </c>
      <c r="P6" s="2">
        <v>20097</v>
      </c>
      <c r="Q6" s="2">
        <v>121</v>
      </c>
    </row>
    <row r="7" spans="1:17" x14ac:dyDescent="0.25">
      <c r="A7" s="24" t="s">
        <v>4</v>
      </c>
      <c r="B7" s="11">
        <v>956117094</v>
      </c>
      <c r="C7" s="6">
        <v>2775811351</v>
      </c>
      <c r="D7" s="8">
        <v>3779541</v>
      </c>
      <c r="E7" s="6">
        <f>1161613+1162040+1416</f>
        <v>2325069</v>
      </c>
      <c r="F7" s="17">
        <f t="shared" si="0"/>
        <v>8.3761780106648173E-4</v>
      </c>
      <c r="G7" s="6">
        <v>35936</v>
      </c>
      <c r="H7" s="6">
        <v>21348</v>
      </c>
      <c r="I7" s="15">
        <v>12316</v>
      </c>
      <c r="J7" s="6">
        <v>801741620</v>
      </c>
      <c r="K7" s="2">
        <v>2465316940</v>
      </c>
      <c r="L7" s="8">
        <v>1638061</v>
      </c>
      <c r="M7" s="2">
        <f>817334+817167+1</f>
        <v>1634502</v>
      </c>
      <c r="N7" s="18">
        <f t="shared" si="1"/>
        <v>6.6299872989150025E-4</v>
      </c>
      <c r="O7" s="2">
        <v>278</v>
      </c>
      <c r="P7" s="2">
        <v>20807</v>
      </c>
      <c r="Q7" s="2">
        <v>101</v>
      </c>
    </row>
    <row r="8" spans="1:17" x14ac:dyDescent="0.25">
      <c r="A8" s="24" t="s">
        <v>5</v>
      </c>
      <c r="B8" s="11">
        <v>856527596</v>
      </c>
      <c r="C8" s="6">
        <v>2774385707</v>
      </c>
      <c r="D8" s="8">
        <v>3473594</v>
      </c>
      <c r="E8" s="6">
        <f>1057859+1056899+1162</f>
        <v>2115920</v>
      </c>
      <c r="F8" s="17">
        <f t="shared" si="0"/>
        <v>7.6266252189137311E-4</v>
      </c>
      <c r="G8" s="6">
        <v>28883</v>
      </c>
      <c r="H8" s="6">
        <v>30613</v>
      </c>
      <c r="I8" s="15">
        <v>9433</v>
      </c>
      <c r="J8" s="6">
        <v>755221364</v>
      </c>
      <c r="K8" s="2">
        <v>2575585837</v>
      </c>
      <c r="L8" s="8">
        <v>1556703</v>
      </c>
      <c r="M8" s="2">
        <f>778906+774748+2</f>
        <v>1553656</v>
      </c>
      <c r="N8" s="18">
        <f t="shared" si="1"/>
        <v>6.0322431412717856E-4</v>
      </c>
      <c r="O8" s="1">
        <v>359</v>
      </c>
      <c r="P8" s="2">
        <v>29246</v>
      </c>
      <c r="Q8" s="2">
        <v>122</v>
      </c>
    </row>
    <row r="9" spans="1:17" x14ac:dyDescent="0.25">
      <c r="A9" s="24" t="s">
        <v>6</v>
      </c>
      <c r="B9" s="11">
        <v>771642756</v>
      </c>
      <c r="C9" s="6">
        <v>2771236803</v>
      </c>
      <c r="D9" s="8">
        <v>3456005</v>
      </c>
      <c r="E9" s="6">
        <f>1052215+1052800+1085</f>
        <v>2106100</v>
      </c>
      <c r="F9" s="17">
        <f t="shared" si="0"/>
        <v>7.5998557673600587E-4</v>
      </c>
      <c r="G9" s="6">
        <v>25081</v>
      </c>
      <c r="H9" s="6">
        <v>29592</v>
      </c>
      <c r="I9" s="15">
        <v>8115</v>
      </c>
      <c r="J9" s="6">
        <v>670284776</v>
      </c>
      <c r="K9" s="2">
        <v>2541525925</v>
      </c>
      <c r="L9" s="8">
        <v>1535989</v>
      </c>
      <c r="M9" s="2">
        <f>767946+765309+0</f>
        <v>1533255</v>
      </c>
      <c r="N9" s="18">
        <f t="shared" si="1"/>
        <v>6.0328127481131238E-4</v>
      </c>
      <c r="O9" s="1">
        <v>416</v>
      </c>
      <c r="P9" s="2">
        <v>27178</v>
      </c>
      <c r="Q9" s="2">
        <v>135</v>
      </c>
    </row>
    <row r="10" spans="1:17" x14ac:dyDescent="0.25">
      <c r="A10" s="24" t="s">
        <v>7</v>
      </c>
      <c r="B10" s="11">
        <v>690148868</v>
      </c>
      <c r="C10" s="6">
        <v>2763367707</v>
      </c>
      <c r="D10" s="8">
        <v>3400850</v>
      </c>
      <c r="E10" s="6">
        <f>1033239+1033776+1084</f>
        <v>2068099</v>
      </c>
      <c r="F10" s="17">
        <f t="shared" si="0"/>
        <v>7.4839804878707014E-4</v>
      </c>
      <c r="G10" s="6">
        <v>20123</v>
      </c>
      <c r="H10" s="6">
        <v>29995</v>
      </c>
      <c r="I10" s="15">
        <v>5955</v>
      </c>
      <c r="J10" s="6">
        <v>595296666</v>
      </c>
      <c r="K10" s="2">
        <v>2521012203</v>
      </c>
      <c r="L10" s="8">
        <v>1488325</v>
      </c>
      <c r="M10" s="2">
        <f>743268+741433+2</f>
        <v>1484703</v>
      </c>
      <c r="N10" s="18">
        <f t="shared" si="1"/>
        <v>5.8893130236863035E-4</v>
      </c>
      <c r="O10" s="1">
        <v>510</v>
      </c>
      <c r="P10" s="2">
        <v>25877</v>
      </c>
      <c r="Q10" s="2">
        <v>196</v>
      </c>
    </row>
    <row r="11" spans="1:17" x14ac:dyDescent="0.25">
      <c r="A11" s="13" t="s">
        <v>8</v>
      </c>
      <c r="B11" s="11">
        <v>766122396</v>
      </c>
      <c r="C11" s="6">
        <v>2780961498</v>
      </c>
      <c r="D11" s="8">
        <v>3523997</v>
      </c>
      <c r="E11" s="6">
        <f>1087291+1086138+1189</f>
        <v>2174618</v>
      </c>
      <c r="F11" s="17">
        <f t="shared" si="0"/>
        <v>7.819662377792474E-4</v>
      </c>
      <c r="G11" s="6">
        <v>26172</v>
      </c>
      <c r="H11" s="6">
        <v>7344</v>
      </c>
      <c r="I11" s="15">
        <v>8742</v>
      </c>
      <c r="J11" s="6">
        <v>612770734</v>
      </c>
      <c r="K11" s="2">
        <v>2406928243</v>
      </c>
      <c r="L11" s="8">
        <v>1503878</v>
      </c>
      <c r="M11" s="2">
        <f>751417+748624+0</f>
        <v>1500041</v>
      </c>
      <c r="N11" s="18">
        <f t="shared" si="1"/>
        <v>6.232179976127356E-4</v>
      </c>
      <c r="O11" s="1">
        <v>442</v>
      </c>
      <c r="P11" s="2">
        <v>9669</v>
      </c>
      <c r="Q11" s="2">
        <v>165</v>
      </c>
    </row>
    <row r="12" spans="1:17" x14ac:dyDescent="0.25">
      <c r="A12" s="13" t="s">
        <v>9</v>
      </c>
      <c r="B12" s="11">
        <v>892956336</v>
      </c>
      <c r="C12" s="6">
        <v>2764492777</v>
      </c>
      <c r="D12" s="8">
        <v>3607881</v>
      </c>
      <c r="E12" s="6">
        <f>1147378+1147108+1296</f>
        <v>2295782</v>
      </c>
      <c r="F12" s="17">
        <f t="shared" si="0"/>
        <v>8.3045324592649497E-4</v>
      </c>
      <c r="G12" s="6">
        <v>30668</v>
      </c>
      <c r="H12" s="6">
        <v>7791</v>
      </c>
      <c r="I12" s="15">
        <v>10308</v>
      </c>
      <c r="J12" s="6">
        <v>731974788</v>
      </c>
      <c r="K12" s="2">
        <v>2425778143</v>
      </c>
      <c r="L12" s="8">
        <v>1595695</v>
      </c>
      <c r="M12" s="2">
        <f>796962+795401+0</f>
        <v>1592363</v>
      </c>
      <c r="N12" s="18">
        <f t="shared" si="1"/>
        <v>6.5643389713731127E-4</v>
      </c>
      <c r="O12" s="1">
        <v>360</v>
      </c>
      <c r="P12" s="2">
        <v>8748</v>
      </c>
      <c r="Q12" s="2">
        <v>142</v>
      </c>
    </row>
    <row r="13" spans="1:17" x14ac:dyDescent="0.25">
      <c r="A13" s="13" t="s">
        <v>10</v>
      </c>
      <c r="B13" s="11">
        <v>855505508</v>
      </c>
      <c r="C13" s="6">
        <v>2776244477</v>
      </c>
      <c r="D13" s="8">
        <v>3547154</v>
      </c>
      <c r="E13" s="6">
        <f>1098107+1098465+1166</f>
        <v>2197738</v>
      </c>
      <c r="F13" s="17">
        <f t="shared" si="0"/>
        <v>7.9162264642300808E-4</v>
      </c>
      <c r="G13" s="6">
        <v>28855</v>
      </c>
      <c r="H13" s="6">
        <v>8881</v>
      </c>
      <c r="I13" s="15">
        <v>9703</v>
      </c>
      <c r="J13" s="6">
        <v>743006514</v>
      </c>
      <c r="K13" s="2">
        <v>2560054327</v>
      </c>
      <c r="L13" s="8">
        <v>1602581</v>
      </c>
      <c r="M13" s="2">
        <f>800972+798692+2</f>
        <v>1599666</v>
      </c>
      <c r="N13" s="18">
        <f t="shared" si="1"/>
        <v>6.2485627087241111E-4</v>
      </c>
      <c r="O13" s="1">
        <v>394</v>
      </c>
      <c r="P13" s="2">
        <v>11816</v>
      </c>
      <c r="Q13" s="2">
        <v>131</v>
      </c>
    </row>
    <row r="14" spans="1:17" x14ac:dyDescent="0.25">
      <c r="A14" s="13" t="s">
        <v>11</v>
      </c>
      <c r="B14" s="11">
        <v>830446058</v>
      </c>
      <c r="C14" s="6">
        <v>2758732521</v>
      </c>
      <c r="D14" s="8">
        <v>3550581</v>
      </c>
      <c r="E14" s="6">
        <f>1140035+1139006+1141</f>
        <v>2280182</v>
      </c>
      <c r="F14" s="17">
        <f t="shared" si="0"/>
        <v>8.2653246831391526E-4</v>
      </c>
      <c r="G14" s="6">
        <v>25968</v>
      </c>
      <c r="H14" s="6">
        <v>8738</v>
      </c>
      <c r="I14" s="15">
        <v>8357</v>
      </c>
      <c r="J14" s="6">
        <v>719289462</v>
      </c>
      <c r="K14" s="2">
        <v>2542112835</v>
      </c>
      <c r="L14" s="8">
        <v>1653752</v>
      </c>
      <c r="M14" s="2">
        <f>826032+824623+3</f>
        <v>1650658</v>
      </c>
      <c r="N14" s="18">
        <f t="shared" si="1"/>
        <v>6.4932522949950021E-4</v>
      </c>
      <c r="O14" s="1">
        <v>364</v>
      </c>
      <c r="P14" s="2">
        <v>10049</v>
      </c>
      <c r="Q14" s="2">
        <v>125</v>
      </c>
    </row>
    <row r="15" spans="1:17" x14ac:dyDescent="0.25">
      <c r="A15" s="13" t="s">
        <v>12</v>
      </c>
      <c r="B15" s="11">
        <v>956885084</v>
      </c>
      <c r="C15" s="6">
        <v>2778562663</v>
      </c>
      <c r="D15" s="8">
        <v>3590783</v>
      </c>
      <c r="E15" s="6">
        <f>1103723+1102771+1210</f>
        <v>2207704</v>
      </c>
      <c r="F15" s="17">
        <f t="shared" si="0"/>
        <v>7.9454893330221075E-4</v>
      </c>
      <c r="G15" s="6">
        <v>35061</v>
      </c>
      <c r="H15" s="6">
        <v>16873</v>
      </c>
      <c r="I15" s="15">
        <v>12620</v>
      </c>
      <c r="J15" s="6">
        <v>837926502</v>
      </c>
      <c r="K15" s="2">
        <v>2585643402</v>
      </c>
      <c r="L15" s="8">
        <v>1617697</v>
      </c>
      <c r="M15" s="2">
        <f>808298+806491+3</f>
        <v>1614792</v>
      </c>
      <c r="N15" s="18">
        <f t="shared" si="1"/>
        <v>6.245223137695459E-4</v>
      </c>
      <c r="O15" s="1">
        <v>319</v>
      </c>
      <c r="P15" s="2">
        <v>17026</v>
      </c>
      <c r="Q15" s="2">
        <v>113</v>
      </c>
    </row>
    <row r="16" spans="1:17" x14ac:dyDescent="0.25">
      <c r="A16" s="13" t="s">
        <v>13</v>
      </c>
      <c r="B16" s="11">
        <v>895470068</v>
      </c>
      <c r="C16" s="6">
        <v>2776662063</v>
      </c>
      <c r="D16" s="8">
        <v>3608670</v>
      </c>
      <c r="E16" s="6">
        <f>1117036+1116711+1177</f>
        <v>2234924</v>
      </c>
      <c r="F16" s="17">
        <f t="shared" si="0"/>
        <v>8.0489593234306378E-4</v>
      </c>
      <c r="G16" s="6">
        <v>30482</v>
      </c>
      <c r="H16" s="6">
        <v>18049</v>
      </c>
      <c r="I16" s="15">
        <v>10014</v>
      </c>
      <c r="J16" s="8">
        <v>746554352</v>
      </c>
      <c r="K16" s="2">
        <v>2448733774</v>
      </c>
      <c r="L16" s="8">
        <v>1571897</v>
      </c>
      <c r="M16" s="2">
        <f>785092+783586+3</f>
        <v>1568681</v>
      </c>
      <c r="N16" s="18">
        <f t="shared" si="1"/>
        <v>6.406090431944195E-4</v>
      </c>
      <c r="O16" s="1">
        <v>311</v>
      </c>
      <c r="P16" s="2">
        <v>18921</v>
      </c>
      <c r="Q16" s="2">
        <v>119</v>
      </c>
    </row>
    <row r="17" spans="1:17" x14ac:dyDescent="0.25">
      <c r="A17" s="13" t="s">
        <v>14</v>
      </c>
      <c r="B17" s="11">
        <v>996947548</v>
      </c>
      <c r="C17" s="6">
        <v>2772558944</v>
      </c>
      <c r="D17" s="8">
        <v>3870799</v>
      </c>
      <c r="E17" s="6">
        <f>1127119+1127979+1428</f>
        <v>2256526</v>
      </c>
      <c r="F17" s="17">
        <f t="shared" si="0"/>
        <v>8.1387845870085852E-4</v>
      </c>
      <c r="G17" s="6">
        <v>40322</v>
      </c>
      <c r="H17" s="6">
        <v>41897</v>
      </c>
      <c r="I17" s="15">
        <v>13746</v>
      </c>
      <c r="J17" s="8">
        <v>882771944</v>
      </c>
      <c r="K17" s="2">
        <v>2587137254</v>
      </c>
      <c r="L17" s="8">
        <v>1652546</v>
      </c>
      <c r="M17" s="2">
        <f>825666+823409+1</f>
        <v>1649076</v>
      </c>
      <c r="N17" s="18">
        <f t="shared" si="1"/>
        <v>6.3741341803584105E-4</v>
      </c>
      <c r="O17" s="1">
        <v>272</v>
      </c>
      <c r="P17" s="2">
        <v>34529</v>
      </c>
      <c r="Q17" s="2">
        <v>96</v>
      </c>
    </row>
    <row r="18" spans="1:17" x14ac:dyDescent="0.25">
      <c r="A18" s="13" t="s">
        <v>15</v>
      </c>
      <c r="B18" s="11">
        <v>641485688</v>
      </c>
      <c r="C18" s="6">
        <v>2769714520</v>
      </c>
      <c r="D18" s="8">
        <v>3724124</v>
      </c>
      <c r="E18" s="6">
        <f>1069958+1070650+1270</f>
        <v>2141878</v>
      </c>
      <c r="F18" s="17">
        <f t="shared" si="0"/>
        <v>7.7332085474282023E-4</v>
      </c>
      <c r="G18" s="6">
        <v>21491</v>
      </c>
      <c r="H18" s="6">
        <v>34395</v>
      </c>
      <c r="I18" s="15">
        <v>6615</v>
      </c>
      <c r="J18" s="2">
        <v>519728910</v>
      </c>
      <c r="K18" s="2">
        <v>2354458185</v>
      </c>
      <c r="L18" s="8">
        <v>1460106</v>
      </c>
      <c r="M18" s="2">
        <f>728681+727272+0</f>
        <v>1455953</v>
      </c>
      <c r="N18" s="18">
        <f t="shared" si="1"/>
        <v>6.1838133685096638E-4</v>
      </c>
      <c r="O18" s="1">
        <v>448</v>
      </c>
      <c r="P18" s="2">
        <v>25208</v>
      </c>
      <c r="Q18" s="2">
        <v>170</v>
      </c>
    </row>
    <row r="19" spans="1:17" x14ac:dyDescent="0.25">
      <c r="A19" s="13" t="s">
        <v>16</v>
      </c>
      <c r="B19" s="11">
        <v>670490438</v>
      </c>
      <c r="C19" s="6">
        <v>2770473735</v>
      </c>
      <c r="D19" s="8">
        <v>3737260</v>
      </c>
      <c r="E19" s="6">
        <f>1088317+1087118+1319</f>
        <v>2176754</v>
      </c>
      <c r="F19" s="17">
        <f t="shared" si="0"/>
        <v>7.8569739626136543E-4</v>
      </c>
      <c r="G19" s="6">
        <v>21555</v>
      </c>
      <c r="H19" s="6">
        <v>22515</v>
      </c>
      <c r="I19" s="15">
        <v>6473</v>
      </c>
      <c r="J19" s="2">
        <v>545264428</v>
      </c>
      <c r="K19" s="2">
        <v>2358006730</v>
      </c>
      <c r="L19" s="8">
        <v>1483818</v>
      </c>
      <c r="M19" s="2">
        <f>740865+738784+0</f>
        <v>1479649</v>
      </c>
      <c r="N19" s="18">
        <f t="shared" si="1"/>
        <v>6.2749990539679248E-4</v>
      </c>
      <c r="O19" s="1">
        <v>458</v>
      </c>
      <c r="P19" s="2">
        <v>17128</v>
      </c>
      <c r="Q19" s="2">
        <v>168</v>
      </c>
    </row>
    <row r="20" spans="1:17" x14ac:dyDescent="0.25">
      <c r="A20" s="13" t="s">
        <v>17</v>
      </c>
      <c r="B20" s="11">
        <v>837128888</v>
      </c>
      <c r="C20" s="6">
        <v>2765275790</v>
      </c>
      <c r="D20" s="8">
        <v>3829739</v>
      </c>
      <c r="E20" s="6">
        <f>1120290+1118288+1389</f>
        <v>2239967</v>
      </c>
      <c r="F20" s="17">
        <f t="shared" si="0"/>
        <v>8.1003385199419843E-4</v>
      </c>
      <c r="G20" s="6">
        <v>29993</v>
      </c>
      <c r="H20" s="6">
        <v>26700</v>
      </c>
      <c r="I20" s="15">
        <v>8851</v>
      </c>
      <c r="J20" s="2">
        <v>705656400</v>
      </c>
      <c r="K20" s="2">
        <v>2470813958</v>
      </c>
      <c r="L20" s="8">
        <v>1578245</v>
      </c>
      <c r="M20" s="2">
        <f>787796+788173+2</f>
        <v>1575971</v>
      </c>
      <c r="N20" s="18">
        <f t="shared" si="1"/>
        <v>6.3783474870591616E-4</v>
      </c>
      <c r="O20" s="1">
        <v>366</v>
      </c>
      <c r="P20" s="2">
        <v>18932</v>
      </c>
      <c r="Q20" s="2">
        <v>128</v>
      </c>
    </row>
    <row r="21" spans="1:17" x14ac:dyDescent="0.25">
      <c r="A21" s="13" t="s">
        <v>18</v>
      </c>
      <c r="B21" s="11">
        <v>985087028</v>
      </c>
      <c r="C21" s="6">
        <v>2756020506</v>
      </c>
      <c r="D21" s="8">
        <v>3795519</v>
      </c>
      <c r="E21" s="6">
        <f>1060785+1061466+1300</f>
        <v>2123551</v>
      </c>
      <c r="F21" s="17">
        <f t="shared" si="0"/>
        <v>7.7051349776858298E-4</v>
      </c>
      <c r="G21" s="6">
        <v>40175</v>
      </c>
      <c r="H21" s="6">
        <v>83751</v>
      </c>
      <c r="I21" s="15">
        <v>12761</v>
      </c>
      <c r="J21" s="2">
        <v>873091544</v>
      </c>
      <c r="K21" s="2">
        <v>2560312083</v>
      </c>
      <c r="L21" s="8">
        <v>1544178</v>
      </c>
      <c r="M21" s="2">
        <f>772507+768469+3</f>
        <v>1540979</v>
      </c>
      <c r="N21" s="18">
        <f t="shared" si="1"/>
        <v>6.0187154926612902E-4</v>
      </c>
      <c r="O21" s="1">
        <v>305</v>
      </c>
      <c r="P21" s="2">
        <v>63781</v>
      </c>
      <c r="Q21" s="2">
        <v>122</v>
      </c>
    </row>
    <row r="22" spans="1:17" x14ac:dyDescent="0.25">
      <c r="A22" s="13" t="s">
        <v>19</v>
      </c>
      <c r="B22" s="11">
        <v>1097643088</v>
      </c>
      <c r="C22" s="6">
        <v>2756962536</v>
      </c>
      <c r="D22" s="8">
        <v>3921751</v>
      </c>
      <c r="E22" s="6">
        <f>1167353+1169008+1496</f>
        <v>2337857</v>
      </c>
      <c r="F22" s="17">
        <f t="shared" si="0"/>
        <v>8.479828686362679E-4</v>
      </c>
      <c r="G22" s="6">
        <v>42982</v>
      </c>
      <c r="H22" s="6">
        <v>81837</v>
      </c>
      <c r="I22" s="15">
        <v>14383</v>
      </c>
      <c r="J22" s="2">
        <v>984871064</v>
      </c>
      <c r="K22" s="2">
        <v>2587718392</v>
      </c>
      <c r="L22" s="8">
        <v>1714189</v>
      </c>
      <c r="M22" s="2">
        <f>858625+851603+1</f>
        <v>1710229</v>
      </c>
      <c r="N22" s="18">
        <f t="shared" si="1"/>
        <v>6.6090228569198959E-4</v>
      </c>
      <c r="O22" s="1">
        <v>260</v>
      </c>
      <c r="P22" s="2">
        <v>66376</v>
      </c>
      <c r="Q22" s="2">
        <v>114</v>
      </c>
    </row>
    <row r="23" spans="1:17" x14ac:dyDescent="0.25">
      <c r="A23" s="13" t="s">
        <v>20</v>
      </c>
      <c r="B23" s="11">
        <v>841448502</v>
      </c>
      <c r="C23" s="6">
        <v>2758976753</v>
      </c>
      <c r="D23" s="8">
        <v>3589961</v>
      </c>
      <c r="E23" s="6">
        <f>1150135+1149524+1204</f>
        <v>2300863</v>
      </c>
      <c r="F23" s="17">
        <f t="shared" si="0"/>
        <v>8.3395519643220421E-4</v>
      </c>
      <c r="G23" s="6">
        <v>27212</v>
      </c>
      <c r="H23" s="6">
        <v>7822</v>
      </c>
      <c r="I23" s="15">
        <v>8739</v>
      </c>
      <c r="J23" s="2">
        <v>732312788</v>
      </c>
      <c r="K23" s="2">
        <v>2547271953</v>
      </c>
      <c r="L23" s="8">
        <v>1676037</v>
      </c>
      <c r="M23" s="2">
        <f>838827+834236+2</f>
        <v>1673065</v>
      </c>
      <c r="N23" s="18">
        <f t="shared" si="1"/>
        <v>6.5680658793796254E-4</v>
      </c>
      <c r="O23" s="1">
        <v>435</v>
      </c>
      <c r="P23" s="2">
        <v>9622</v>
      </c>
      <c r="Q23" s="2">
        <v>143</v>
      </c>
    </row>
    <row r="24" spans="1:17" x14ac:dyDescent="0.25">
      <c r="A24" s="13" t="s">
        <v>21</v>
      </c>
      <c r="B24" s="11">
        <v>767865524</v>
      </c>
      <c r="C24" s="6">
        <v>2775821036</v>
      </c>
      <c r="D24" s="8">
        <v>3505489</v>
      </c>
      <c r="E24" s="6">
        <f>1094427+1092277+1160</f>
        <v>2187864</v>
      </c>
      <c r="F24" s="17">
        <f t="shared" si="0"/>
        <v>7.881862597138989E-4</v>
      </c>
      <c r="G24" s="6">
        <v>25091</v>
      </c>
      <c r="H24" s="6">
        <v>12442</v>
      </c>
      <c r="I24" s="15">
        <v>8237</v>
      </c>
      <c r="J24" s="2">
        <v>621154226</v>
      </c>
      <c r="K24" s="2">
        <v>2383649621</v>
      </c>
      <c r="L24" s="8">
        <v>1501498</v>
      </c>
      <c r="M24" s="2">
        <f>749800+748029+0</f>
        <v>1497829</v>
      </c>
      <c r="N24" s="18">
        <f t="shared" si="1"/>
        <v>6.2837632964345808E-4</v>
      </c>
      <c r="O24" s="1">
        <v>381</v>
      </c>
      <c r="P24" s="2">
        <v>13427</v>
      </c>
      <c r="Q24" s="2">
        <v>126</v>
      </c>
    </row>
    <row r="25" spans="1:17" x14ac:dyDescent="0.25">
      <c r="A25" s="13" t="s">
        <v>22</v>
      </c>
      <c r="B25" s="11">
        <v>832413274</v>
      </c>
      <c r="C25" s="6">
        <v>2777096654</v>
      </c>
      <c r="D25" s="8">
        <v>3550828</v>
      </c>
      <c r="E25" s="6">
        <f>1111031+1110341+1191</f>
        <v>2222563</v>
      </c>
      <c r="F25" s="17">
        <f t="shared" si="0"/>
        <v>8.0031892184909169E-4</v>
      </c>
      <c r="G25" s="6">
        <v>27203</v>
      </c>
      <c r="H25" s="6">
        <v>18949</v>
      </c>
      <c r="I25" s="15">
        <v>8613</v>
      </c>
      <c r="J25" s="2">
        <v>717066158</v>
      </c>
      <c r="K25" s="2">
        <v>2551734376</v>
      </c>
      <c r="L25" s="8">
        <v>1614603</v>
      </c>
      <c r="M25" s="2">
        <f>807459+804190+0</f>
        <v>1611649</v>
      </c>
      <c r="N25" s="18">
        <f t="shared" si="1"/>
        <v>6.3158964160147366E-4</v>
      </c>
      <c r="O25" s="1">
        <v>383</v>
      </c>
      <c r="P25" s="2">
        <v>19179</v>
      </c>
      <c r="Q25" s="2">
        <v>144</v>
      </c>
    </row>
    <row r="26" spans="1:17" x14ac:dyDescent="0.25">
      <c r="A26" s="13" t="s">
        <v>23</v>
      </c>
      <c r="B26" s="11">
        <v>814774410</v>
      </c>
      <c r="C26" s="6">
        <v>2760315191</v>
      </c>
      <c r="D26" s="8">
        <v>3597339</v>
      </c>
      <c r="E26" s="6">
        <f>1155645+1152401+1210</f>
        <v>2309256</v>
      </c>
      <c r="F26" s="17">
        <f t="shared" si="0"/>
        <v>8.3659141808490667E-4</v>
      </c>
      <c r="G26" s="6">
        <v>27604</v>
      </c>
      <c r="H26" s="6">
        <v>18247</v>
      </c>
      <c r="I26" s="15">
        <v>9216</v>
      </c>
      <c r="J26" s="2">
        <v>703071926</v>
      </c>
      <c r="K26" s="2">
        <v>2540559710</v>
      </c>
      <c r="L26" s="8">
        <v>1678058</v>
      </c>
      <c r="M26" s="2">
        <f>840321+834622+3</f>
        <v>1674946</v>
      </c>
      <c r="N26" s="18">
        <f t="shared" si="1"/>
        <v>6.5928228075379496E-4</v>
      </c>
      <c r="O26" s="1">
        <v>420</v>
      </c>
      <c r="P26" s="2">
        <v>17687</v>
      </c>
      <c r="Q26" s="2">
        <v>155</v>
      </c>
    </row>
    <row r="27" spans="1:17" x14ac:dyDescent="0.25">
      <c r="A27" s="13" t="s">
        <v>24</v>
      </c>
      <c r="B27" s="11">
        <v>991866408</v>
      </c>
      <c r="C27" s="6">
        <v>2778515122</v>
      </c>
      <c r="D27" s="8">
        <v>3466345</v>
      </c>
      <c r="E27" s="6">
        <f>1084731+1087614+1196</f>
        <v>2173541</v>
      </c>
      <c r="F27" s="17">
        <f t="shared" si="0"/>
        <v>7.8226711195131661E-4</v>
      </c>
      <c r="G27" s="6">
        <v>31512</v>
      </c>
      <c r="H27" s="6">
        <v>31722</v>
      </c>
      <c r="I27" s="15">
        <v>10784</v>
      </c>
      <c r="J27" s="2">
        <v>870753550</v>
      </c>
      <c r="K27" s="2">
        <v>2584888880</v>
      </c>
      <c r="L27" s="8">
        <v>1587552</v>
      </c>
      <c r="M27" s="2">
        <f>793652+791079+3</f>
        <v>1584734</v>
      </c>
      <c r="N27" s="18">
        <f t="shared" si="1"/>
        <v>6.1307625726642458E-4</v>
      </c>
      <c r="O27" s="1">
        <v>268</v>
      </c>
      <c r="P27" s="2">
        <v>28263</v>
      </c>
      <c r="Q27" s="2">
        <v>104</v>
      </c>
    </row>
    <row r="28" spans="1:17" x14ac:dyDescent="0.25">
      <c r="A28" s="13" t="s">
        <v>25</v>
      </c>
      <c r="B28" s="11">
        <v>830420582</v>
      </c>
      <c r="C28" s="6">
        <v>2775661800</v>
      </c>
      <c r="D28" s="8">
        <v>3432021</v>
      </c>
      <c r="E28" s="6">
        <f>1080799+1079608+1042</f>
        <v>2161449</v>
      </c>
      <c r="F28" s="17">
        <f t="shared" si="0"/>
        <v>7.7871482757733664E-4</v>
      </c>
      <c r="G28" s="6">
        <v>26700</v>
      </c>
      <c r="H28" s="6">
        <v>32131</v>
      </c>
      <c r="I28" s="15">
        <v>9017</v>
      </c>
      <c r="J28" s="2">
        <v>722415598</v>
      </c>
      <c r="K28" s="2">
        <v>2563235814</v>
      </c>
      <c r="L28" s="8">
        <v>1584319</v>
      </c>
      <c r="M28" s="2">
        <f>791402+790080+1</f>
        <v>1581483</v>
      </c>
      <c r="N28" s="18">
        <f t="shared" si="1"/>
        <v>6.169869316596557E-4</v>
      </c>
      <c r="O28" s="1">
        <v>381</v>
      </c>
      <c r="P28" s="2">
        <v>28732</v>
      </c>
      <c r="Q28" s="2">
        <v>118</v>
      </c>
    </row>
    <row r="29" spans="1:17" x14ac:dyDescent="0.25">
      <c r="A29" s="13" t="s">
        <v>26</v>
      </c>
      <c r="B29" s="11">
        <v>743488338</v>
      </c>
      <c r="C29" s="6">
        <v>2777097889</v>
      </c>
      <c r="D29" s="8">
        <v>3532595</v>
      </c>
      <c r="E29" s="6">
        <f>1097938+1097105+1181</f>
        <v>2196224</v>
      </c>
      <c r="F29" s="17">
        <f t="shared" si="0"/>
        <v>7.908342045482719E-4</v>
      </c>
      <c r="G29" s="6">
        <v>24523</v>
      </c>
      <c r="H29" s="6">
        <v>14286</v>
      </c>
      <c r="I29" s="15">
        <v>8065</v>
      </c>
      <c r="J29" s="2">
        <v>612849458</v>
      </c>
      <c r="K29" s="2">
        <v>2450620302</v>
      </c>
      <c r="L29" s="8">
        <v>1558976</v>
      </c>
      <c r="M29" s="2">
        <f>778315+777437+0</f>
        <v>1555752</v>
      </c>
      <c r="N29" s="18">
        <f t="shared" si="1"/>
        <v>6.348400846635931E-4</v>
      </c>
      <c r="O29" s="1">
        <v>454</v>
      </c>
      <c r="P29" s="2">
        <v>15160</v>
      </c>
      <c r="Q29" s="2">
        <v>157</v>
      </c>
    </row>
    <row r="30" spans="1:17" x14ac:dyDescent="0.25">
      <c r="A30" s="13" t="s">
        <v>27</v>
      </c>
      <c r="B30" s="11">
        <v>855276550</v>
      </c>
      <c r="C30" s="6">
        <v>2761513017</v>
      </c>
      <c r="D30" s="8">
        <v>3582483</v>
      </c>
      <c r="E30" s="6">
        <f>1145365+1145874+1168</f>
        <v>2292407</v>
      </c>
      <c r="F30" s="17">
        <f t="shared" si="0"/>
        <v>8.3012717517094367E-4</v>
      </c>
      <c r="G30" s="6">
        <v>28902</v>
      </c>
      <c r="H30" s="6">
        <v>14868</v>
      </c>
      <c r="I30" s="15">
        <v>9812</v>
      </c>
      <c r="J30" s="2">
        <v>719736676</v>
      </c>
      <c r="K30" s="2">
        <v>2464172483</v>
      </c>
      <c r="L30" s="8">
        <v>1634807</v>
      </c>
      <c r="M30" s="2">
        <f>817256+814389+1</f>
        <v>1631646</v>
      </c>
      <c r="N30" s="18">
        <f t="shared" si="1"/>
        <v>6.6214764236534167E-4</v>
      </c>
      <c r="O30" s="1">
        <v>435</v>
      </c>
      <c r="P30" s="2">
        <v>15282</v>
      </c>
      <c r="Q30" s="2">
        <v>160</v>
      </c>
    </row>
    <row r="31" spans="1:17" x14ac:dyDescent="0.25">
      <c r="A31" s="13" t="s">
        <v>28</v>
      </c>
      <c r="B31" s="11">
        <v>788957940</v>
      </c>
      <c r="C31" s="6">
        <v>2766929278</v>
      </c>
      <c r="D31" s="8">
        <v>3507931</v>
      </c>
      <c r="E31" s="6">
        <f>1096646+1097028+1133</f>
        <v>2194807</v>
      </c>
      <c r="F31" s="17">
        <f t="shared" si="0"/>
        <v>7.9322844188719447E-4</v>
      </c>
      <c r="G31" s="6">
        <v>23045</v>
      </c>
      <c r="H31" s="6">
        <v>13725</v>
      </c>
      <c r="I31" s="15">
        <v>6878</v>
      </c>
      <c r="J31" s="2">
        <v>664856266</v>
      </c>
      <c r="K31" s="2">
        <v>2487662562</v>
      </c>
      <c r="L31" s="8">
        <v>1548082</v>
      </c>
      <c r="M31" s="2">
        <f>774666+770823+1</f>
        <v>1545490</v>
      </c>
      <c r="N31" s="18">
        <f t="shared" si="1"/>
        <v>6.2126191212906153E-4</v>
      </c>
      <c r="O31" s="1">
        <v>456</v>
      </c>
      <c r="P31" s="2">
        <v>13933</v>
      </c>
      <c r="Q31" s="2">
        <v>164</v>
      </c>
    </row>
    <row r="32" spans="1:17" x14ac:dyDescent="0.25">
      <c r="A32" s="13" t="s">
        <v>29</v>
      </c>
      <c r="B32" s="11">
        <v>896991758</v>
      </c>
      <c r="C32" s="6">
        <v>2774389119</v>
      </c>
      <c r="D32" s="8">
        <v>3754183</v>
      </c>
      <c r="E32" s="6">
        <f>1106468+1105321+1400</f>
        <v>2213189</v>
      </c>
      <c r="F32" s="17">
        <f t="shared" si="0"/>
        <v>7.9772119377317962E-4</v>
      </c>
      <c r="G32" s="6">
        <v>32710</v>
      </c>
      <c r="H32" s="6">
        <v>24395</v>
      </c>
      <c r="I32" s="15">
        <v>10293</v>
      </c>
      <c r="J32" s="2">
        <v>781022286</v>
      </c>
      <c r="K32" s="2">
        <v>2557246782</v>
      </c>
      <c r="L32" s="8">
        <v>1608277</v>
      </c>
      <c r="M32" s="2">
        <f>804239+801065+3</f>
        <v>1605307</v>
      </c>
      <c r="N32" s="18">
        <f t="shared" si="1"/>
        <v>6.2774817483375763E-4</v>
      </c>
      <c r="O32" s="1">
        <v>323</v>
      </c>
      <c r="P32" s="2">
        <v>21921</v>
      </c>
      <c r="Q32" s="2">
        <v>106</v>
      </c>
    </row>
    <row r="33" spans="1:17" x14ac:dyDescent="0.25">
      <c r="A33" s="13" t="s">
        <v>30</v>
      </c>
      <c r="B33" s="11">
        <v>749224596</v>
      </c>
      <c r="C33" s="6">
        <v>2758263275</v>
      </c>
      <c r="D33" s="8">
        <v>3718037</v>
      </c>
      <c r="E33" s="6">
        <f>1111593+1113165+1273</f>
        <v>2226031</v>
      </c>
      <c r="F33" s="17">
        <f t="shared" si="0"/>
        <v>8.0704079997584715E-4</v>
      </c>
      <c r="G33" s="6">
        <v>26043</v>
      </c>
      <c r="H33" s="6">
        <v>24356</v>
      </c>
      <c r="I33" s="15">
        <v>8366</v>
      </c>
      <c r="J33" s="2">
        <v>620685188</v>
      </c>
      <c r="K33" s="2">
        <v>2405164684</v>
      </c>
      <c r="L33" s="8">
        <v>1549500</v>
      </c>
      <c r="M33" s="2">
        <f>774147+771856+1</f>
        <v>1546004</v>
      </c>
      <c r="N33" s="18">
        <f t="shared" si="1"/>
        <v>6.4278509088569339E-4</v>
      </c>
      <c r="O33" s="1">
        <v>426</v>
      </c>
      <c r="P33" s="2">
        <v>19233</v>
      </c>
      <c r="Q33" s="2">
        <v>151</v>
      </c>
    </row>
    <row r="34" spans="1:17" x14ac:dyDescent="0.25">
      <c r="A34" s="13" t="s">
        <v>31</v>
      </c>
      <c r="B34" s="11">
        <v>768676762</v>
      </c>
      <c r="C34" s="6">
        <v>2773163783</v>
      </c>
      <c r="D34" s="8">
        <v>3705663</v>
      </c>
      <c r="E34" s="6">
        <f>1085976+1083941+1304</f>
        <v>2171221</v>
      </c>
      <c r="F34" s="17">
        <f t="shared" si="0"/>
        <v>7.8294005327416317E-4</v>
      </c>
      <c r="G34" s="6">
        <v>28186</v>
      </c>
      <c r="H34" s="6">
        <v>23788</v>
      </c>
      <c r="I34" s="15">
        <v>9131</v>
      </c>
      <c r="J34" s="2">
        <v>633466226</v>
      </c>
      <c r="K34" s="2">
        <v>2410654442</v>
      </c>
      <c r="L34" s="8">
        <v>1508824</v>
      </c>
      <c r="M34" s="2">
        <f>753610+751895+1</f>
        <v>1505506</v>
      </c>
      <c r="N34" s="18">
        <f t="shared" si="1"/>
        <v>6.2452169575617669E-4</v>
      </c>
      <c r="O34" s="1">
        <v>345</v>
      </c>
      <c r="P34" s="2">
        <v>20434</v>
      </c>
      <c r="Q34" s="2">
        <v>132</v>
      </c>
    </row>
    <row r="35" spans="1:17" x14ac:dyDescent="0.25">
      <c r="A35" s="24" t="s">
        <v>32</v>
      </c>
      <c r="B35" s="11">
        <v>802448482</v>
      </c>
      <c r="C35" s="6">
        <v>2765435978</v>
      </c>
      <c r="D35" s="8">
        <v>3700346</v>
      </c>
      <c r="E35" s="6">
        <f>1099809+1098791+1323</f>
        <v>2199923</v>
      </c>
      <c r="F35" s="17">
        <f t="shared" si="0"/>
        <v>7.9550675463151144E-4</v>
      </c>
      <c r="G35" s="6">
        <v>25973</v>
      </c>
      <c r="H35" s="6">
        <v>42064</v>
      </c>
      <c r="I35" s="15">
        <v>7510</v>
      </c>
      <c r="J35" s="2">
        <v>670555486</v>
      </c>
      <c r="K35" s="2">
        <v>2461463721</v>
      </c>
      <c r="L35" s="8">
        <v>1547122</v>
      </c>
      <c r="M35" s="2">
        <f>774098+770677+1</f>
        <v>1544776</v>
      </c>
      <c r="N35" s="18">
        <f t="shared" si="1"/>
        <v>6.2758430555800179E-4</v>
      </c>
      <c r="O35" s="1">
        <v>401</v>
      </c>
      <c r="P35" s="2">
        <v>33883</v>
      </c>
      <c r="Q35" s="2">
        <v>143</v>
      </c>
    </row>
    <row r="36" spans="1:17" x14ac:dyDescent="0.25">
      <c r="A36" s="24" t="s">
        <v>33</v>
      </c>
      <c r="B36" s="11">
        <v>876826298</v>
      </c>
      <c r="C36" s="6">
        <v>2776654350</v>
      </c>
      <c r="D36" s="8">
        <v>3600261</v>
      </c>
      <c r="E36" s="6">
        <f>1124655+1122187+1232</f>
        <v>2248074</v>
      </c>
      <c r="F36" s="17">
        <f t="shared" si="0"/>
        <v>8.0963408355094681E-4</v>
      </c>
      <c r="G36" s="6">
        <v>29921</v>
      </c>
      <c r="H36" s="6">
        <v>7929</v>
      </c>
      <c r="I36" s="15">
        <v>9856</v>
      </c>
      <c r="J36" s="2">
        <v>755063048</v>
      </c>
      <c r="K36" s="2">
        <v>2554972327</v>
      </c>
      <c r="L36" s="8">
        <v>1628876</v>
      </c>
      <c r="M36" s="2">
        <f>815906+810051+4</f>
        <v>1625961</v>
      </c>
      <c r="N36" s="18">
        <f t="shared" si="1"/>
        <v>6.3639084573145755E-4</v>
      </c>
      <c r="O36" s="1">
        <v>361</v>
      </c>
      <c r="P36" s="2">
        <v>10671</v>
      </c>
      <c r="Q36" s="2">
        <v>141</v>
      </c>
    </row>
    <row r="37" spans="1:17" x14ac:dyDescent="0.25">
      <c r="A37" s="24" t="s">
        <v>34</v>
      </c>
      <c r="B37" s="11">
        <v>825028758</v>
      </c>
      <c r="C37" s="6">
        <v>2760280121</v>
      </c>
      <c r="D37" s="8">
        <v>3642889</v>
      </c>
      <c r="E37" s="6">
        <f>1168315+1167000+1229</f>
        <v>2336544</v>
      </c>
      <c r="F37" s="17">
        <f t="shared" si="0"/>
        <v>8.4648800033871631E-4</v>
      </c>
      <c r="G37" s="6">
        <v>28459</v>
      </c>
      <c r="H37" s="6">
        <v>7693</v>
      </c>
      <c r="I37" s="15">
        <v>9559</v>
      </c>
      <c r="J37" s="2">
        <v>712778592</v>
      </c>
      <c r="K37" s="2">
        <v>2544638857</v>
      </c>
      <c r="L37" s="8">
        <v>1702310</v>
      </c>
      <c r="M37" s="2">
        <f>850657+848603+0</f>
        <v>1699260</v>
      </c>
      <c r="N37" s="18">
        <f t="shared" si="1"/>
        <v>6.6778041816249766E-4</v>
      </c>
      <c r="O37" s="1">
        <v>440</v>
      </c>
      <c r="P37" s="2">
        <v>9301</v>
      </c>
      <c r="Q37" s="2">
        <v>144</v>
      </c>
    </row>
    <row r="38" spans="1:17" x14ac:dyDescent="0.25">
      <c r="A38" s="13" t="s">
        <v>35</v>
      </c>
      <c r="B38" s="11">
        <v>825850340</v>
      </c>
      <c r="C38" s="6">
        <v>2781166551</v>
      </c>
      <c r="D38" s="8">
        <v>3049591</v>
      </c>
      <c r="E38" s="6">
        <f>897498+898445+822</f>
        <v>1796765</v>
      </c>
      <c r="F38" s="17">
        <f t="shared" si="0"/>
        <v>6.4604724925731354E-4</v>
      </c>
      <c r="G38" s="6">
        <v>26270</v>
      </c>
      <c r="H38" s="6">
        <v>10840</v>
      </c>
      <c r="I38" s="15">
        <v>8872</v>
      </c>
      <c r="J38" s="2">
        <v>691712804</v>
      </c>
      <c r="K38" s="2">
        <v>2462903389</v>
      </c>
      <c r="L38" s="8">
        <v>1278585</v>
      </c>
      <c r="M38" s="2">
        <f>638678+636941+1</f>
        <v>1275620</v>
      </c>
      <c r="N38" s="18">
        <f t="shared" si="1"/>
        <v>5.1793342999050136E-4</v>
      </c>
      <c r="O38" s="1">
        <v>360</v>
      </c>
      <c r="P38" s="2">
        <v>12871</v>
      </c>
      <c r="Q38" s="2">
        <v>134</v>
      </c>
    </row>
    <row r="39" spans="1:17" x14ac:dyDescent="0.25">
      <c r="A39" s="13" t="s">
        <v>36</v>
      </c>
      <c r="B39" s="11">
        <v>867678906</v>
      </c>
      <c r="C39" s="6">
        <v>2764985705</v>
      </c>
      <c r="D39" s="8">
        <v>3169818</v>
      </c>
      <c r="E39" s="6">
        <f>982232+982518+889</f>
        <v>1965639</v>
      </c>
      <c r="F39" s="17">
        <f t="shared" si="0"/>
        <v>7.1090385619190755E-4</v>
      </c>
      <c r="G39" s="6">
        <v>28046</v>
      </c>
      <c r="H39" s="6">
        <v>8878</v>
      </c>
      <c r="I39" s="15">
        <v>9627</v>
      </c>
      <c r="J39" s="2">
        <v>731066496</v>
      </c>
      <c r="K39" s="2">
        <v>2459317706</v>
      </c>
      <c r="L39" s="8">
        <v>1394898</v>
      </c>
      <c r="M39" s="2">
        <f>695945+696067+0</f>
        <v>1392012</v>
      </c>
      <c r="N39" s="18">
        <f t="shared" si="1"/>
        <v>5.6601552398208126E-4</v>
      </c>
      <c r="O39" s="1">
        <v>345</v>
      </c>
      <c r="P39" s="2">
        <v>10329</v>
      </c>
      <c r="Q39" s="2">
        <v>124</v>
      </c>
    </row>
    <row r="40" spans="1:17" x14ac:dyDescent="0.25">
      <c r="A40" s="13" t="s">
        <v>37</v>
      </c>
      <c r="B40" s="11">
        <v>1003544662</v>
      </c>
      <c r="C40" s="6">
        <v>2776127350</v>
      </c>
      <c r="D40" s="8">
        <v>3074174</v>
      </c>
      <c r="E40" s="6">
        <f>911433+909580+830</f>
        <v>1821843</v>
      </c>
      <c r="F40" s="17">
        <f t="shared" si="0"/>
        <v>6.5625339557999745E-4</v>
      </c>
      <c r="G40" s="6">
        <v>31237</v>
      </c>
      <c r="H40" s="6">
        <v>9664</v>
      </c>
      <c r="I40" s="15">
        <v>10506</v>
      </c>
      <c r="J40" s="2">
        <v>892943730</v>
      </c>
      <c r="K40" s="2">
        <v>2597148736</v>
      </c>
      <c r="L40" s="8">
        <v>1339578</v>
      </c>
      <c r="M40" s="2">
        <f>669135+667424+2</f>
        <v>1336561</v>
      </c>
      <c r="N40" s="18">
        <f t="shared" si="1"/>
        <v>5.1462628284374085E-4</v>
      </c>
      <c r="O40" s="1">
        <v>252</v>
      </c>
      <c r="P40" s="2">
        <v>13199</v>
      </c>
      <c r="Q40" s="2">
        <v>93</v>
      </c>
    </row>
    <row r="41" spans="1:17" x14ac:dyDescent="0.25">
      <c r="A41" s="13" t="s">
        <v>38</v>
      </c>
      <c r="B41" s="11">
        <v>1058830274</v>
      </c>
      <c r="C41" s="6">
        <v>2778854226</v>
      </c>
      <c r="D41" s="8">
        <v>3100564</v>
      </c>
      <c r="E41" s="6">
        <f>929497+928086+835</f>
        <v>1858418</v>
      </c>
      <c r="F41" s="17">
        <f t="shared" si="0"/>
        <v>6.6877131682977311E-4</v>
      </c>
      <c r="G41" s="6">
        <v>32427</v>
      </c>
      <c r="H41" s="6">
        <v>9622</v>
      </c>
      <c r="I41" s="15">
        <v>10848</v>
      </c>
      <c r="J41" s="2">
        <v>942557728</v>
      </c>
      <c r="K41" s="2">
        <v>2601790942</v>
      </c>
      <c r="L41" s="8">
        <v>1362196</v>
      </c>
      <c r="M41" s="2">
        <f>681282+677726+0</f>
        <v>1359008</v>
      </c>
      <c r="N41" s="18">
        <f t="shared" si="1"/>
        <v>5.2233558740708388E-4</v>
      </c>
      <c r="O41" s="1">
        <v>220</v>
      </c>
      <c r="P41" s="2">
        <v>13019</v>
      </c>
      <c r="Q41" s="2">
        <v>88</v>
      </c>
    </row>
    <row r="42" spans="1:17" x14ac:dyDescent="0.25">
      <c r="A42" s="13" t="s">
        <v>39</v>
      </c>
      <c r="B42" s="11">
        <v>905934528</v>
      </c>
      <c r="C42" s="6">
        <v>2763687535</v>
      </c>
      <c r="D42" s="8">
        <v>3311744</v>
      </c>
      <c r="E42" s="6">
        <f>1010006+1010713+967</f>
        <v>2021686</v>
      </c>
      <c r="F42" s="17">
        <f t="shared" si="0"/>
        <v>7.3151757367534681E-4</v>
      </c>
      <c r="G42" s="6">
        <v>30674</v>
      </c>
      <c r="H42" s="6">
        <v>27887</v>
      </c>
      <c r="I42" s="15">
        <v>10475</v>
      </c>
      <c r="J42" s="2">
        <v>761782482</v>
      </c>
      <c r="K42" s="2">
        <v>2448491636</v>
      </c>
      <c r="L42" s="8">
        <v>1423626</v>
      </c>
      <c r="M42" s="2">
        <f>711289+709362+1</f>
        <v>1420652</v>
      </c>
      <c r="N42" s="18">
        <f t="shared" si="1"/>
        <v>5.8021517374707502E-4</v>
      </c>
      <c r="O42" s="1">
        <v>355</v>
      </c>
      <c r="P42" s="2">
        <v>24193</v>
      </c>
      <c r="Q42" s="2">
        <v>136</v>
      </c>
    </row>
    <row r="43" spans="1:17" x14ac:dyDescent="0.25">
      <c r="A43" s="13" t="s">
        <v>40</v>
      </c>
      <c r="B43" s="11">
        <v>879757450</v>
      </c>
      <c r="C43" s="6">
        <v>2776877952</v>
      </c>
      <c r="D43" s="8">
        <v>3686220</v>
      </c>
      <c r="E43" s="6">
        <f>1146840+1145534+1326</f>
        <v>2293700</v>
      </c>
      <c r="F43" s="17">
        <f t="shared" si="0"/>
        <v>8.2599957205465257E-4</v>
      </c>
      <c r="G43" s="6">
        <v>30190</v>
      </c>
      <c r="H43" s="6">
        <v>36378</v>
      </c>
      <c r="I43" s="15">
        <v>10991</v>
      </c>
      <c r="J43" s="2">
        <v>773666710</v>
      </c>
      <c r="K43" s="2">
        <v>2578983825</v>
      </c>
      <c r="L43" s="8">
        <v>1688875</v>
      </c>
      <c r="M43" s="2">
        <f>844548+841241+1</f>
        <v>1685790</v>
      </c>
      <c r="N43" s="18">
        <f t="shared" si="1"/>
        <v>6.5366443312222015E-4</v>
      </c>
      <c r="O43" s="1">
        <v>358</v>
      </c>
      <c r="P43" s="2">
        <v>32626</v>
      </c>
      <c r="Q43" s="2">
        <v>141</v>
      </c>
    </row>
    <row r="44" spans="1:17" x14ac:dyDescent="0.25">
      <c r="A44" s="13" t="s">
        <v>41</v>
      </c>
      <c r="B44" s="11">
        <v>796860336</v>
      </c>
      <c r="C44" s="6">
        <v>2779091169</v>
      </c>
      <c r="D44" s="8">
        <v>3631736</v>
      </c>
      <c r="E44" s="6">
        <f>1135744+1134313+1287</f>
        <v>2271344</v>
      </c>
      <c r="F44" s="17">
        <f t="shared" si="0"/>
        <v>8.1729740475455412E-4</v>
      </c>
      <c r="G44" s="6">
        <v>27124</v>
      </c>
      <c r="H44" s="6">
        <v>28144</v>
      </c>
      <c r="I44" s="15">
        <v>9627</v>
      </c>
      <c r="J44" s="2">
        <v>671328730</v>
      </c>
      <c r="K44" s="2">
        <v>2511744146</v>
      </c>
      <c r="L44" s="8">
        <v>1624688</v>
      </c>
      <c r="M44" s="2">
        <f>811050+810596+1</f>
        <v>1621647</v>
      </c>
      <c r="N44" s="18">
        <f t="shared" si="1"/>
        <v>6.4562587020756208E-4</v>
      </c>
      <c r="O44" s="1">
        <v>382</v>
      </c>
      <c r="P44" s="2">
        <v>24179</v>
      </c>
      <c r="Q44" s="2">
        <v>136</v>
      </c>
    </row>
    <row r="45" spans="1:17" x14ac:dyDescent="0.25">
      <c r="A45" s="13" t="s">
        <v>42</v>
      </c>
      <c r="B45" s="11">
        <v>761087608</v>
      </c>
      <c r="C45" s="6">
        <v>2760525715</v>
      </c>
      <c r="D45" s="8">
        <v>3587500</v>
      </c>
      <c r="E45" s="6">
        <f>1147927+1149512+1169</f>
        <v>2298608</v>
      </c>
      <c r="F45" s="17">
        <f t="shared" si="0"/>
        <v>8.3267038140957871E-4</v>
      </c>
      <c r="G45" s="6">
        <v>24880</v>
      </c>
      <c r="H45" s="6">
        <v>12428</v>
      </c>
      <c r="I45" s="15">
        <v>8217</v>
      </c>
      <c r="J45" s="2">
        <v>629439514</v>
      </c>
      <c r="K45" s="2">
        <v>2426169011</v>
      </c>
      <c r="L45" s="8">
        <v>1615736</v>
      </c>
      <c r="M45" s="2">
        <f>807487+804870+2</f>
        <v>1612359</v>
      </c>
      <c r="N45" s="18">
        <f t="shared" si="1"/>
        <v>6.645699424441293E-4</v>
      </c>
      <c r="O45" s="1">
        <v>490</v>
      </c>
      <c r="P45" s="2">
        <v>12696</v>
      </c>
      <c r="Q45" s="2">
        <v>190</v>
      </c>
    </row>
    <row r="46" spans="1:17" x14ac:dyDescent="0.25">
      <c r="A46" s="13" t="s">
        <v>43</v>
      </c>
      <c r="B46" s="11">
        <v>704090554</v>
      </c>
      <c r="C46" s="6">
        <v>2774425533</v>
      </c>
      <c r="D46" s="8">
        <v>3518105</v>
      </c>
      <c r="E46" s="6">
        <f>1094116+1093406+1168</f>
        <v>2188690</v>
      </c>
      <c r="F46" s="17">
        <f t="shared" si="0"/>
        <v>7.8888042730538123E-4</v>
      </c>
      <c r="G46" s="6">
        <v>23074</v>
      </c>
      <c r="H46" s="6">
        <v>14237</v>
      </c>
      <c r="I46" s="15">
        <v>7678</v>
      </c>
      <c r="J46" s="2">
        <v>571336454</v>
      </c>
      <c r="K46" s="2">
        <v>2396260552</v>
      </c>
      <c r="L46" s="8">
        <v>1514873</v>
      </c>
      <c r="M46" s="2">
        <f>756388+755076+1</f>
        <v>1511465</v>
      </c>
      <c r="N46" s="18">
        <f t="shared" si="1"/>
        <v>6.3075987239304186E-4</v>
      </c>
      <c r="O46" s="1">
        <v>430</v>
      </c>
      <c r="P46" s="2">
        <v>15125</v>
      </c>
      <c r="Q46" s="2">
        <v>145</v>
      </c>
    </row>
    <row r="47" spans="1:17" x14ac:dyDescent="0.25">
      <c r="A47" s="14" t="s">
        <v>44</v>
      </c>
      <c r="B47" s="21">
        <v>863906484</v>
      </c>
      <c r="C47" s="7">
        <v>2768583397</v>
      </c>
      <c r="D47" s="9">
        <v>3553228</v>
      </c>
      <c r="E47" s="7">
        <f>1106785+1107197+1202</f>
        <v>2215184</v>
      </c>
      <c r="F47" s="22">
        <f t="shared" si="0"/>
        <v>8.0011460099065242E-4</v>
      </c>
      <c r="G47" s="7">
        <v>27156</v>
      </c>
      <c r="H47" s="7">
        <v>12201</v>
      </c>
      <c r="I47" s="20">
        <v>8312</v>
      </c>
      <c r="J47" s="7">
        <v>730437860</v>
      </c>
      <c r="K47" s="7">
        <v>2498133202</v>
      </c>
      <c r="L47" s="9">
        <v>1577193</v>
      </c>
      <c r="M47" s="7">
        <f>788621+786231+1</f>
        <v>1574853</v>
      </c>
      <c r="N47" s="22">
        <f t="shared" si="1"/>
        <v>6.3041194070003002E-4</v>
      </c>
      <c r="O47" s="3">
        <v>413</v>
      </c>
      <c r="P47" s="7">
        <v>13242</v>
      </c>
      <c r="Q47" s="7">
        <v>145</v>
      </c>
    </row>
    <row r="48" spans="1:17" x14ac:dyDescent="0.25">
      <c r="A48" s="24" t="s">
        <v>45</v>
      </c>
      <c r="B48" s="11">
        <v>1587313936</v>
      </c>
      <c r="C48" s="2">
        <v>2762837156</v>
      </c>
      <c r="D48" s="8">
        <v>2992292</v>
      </c>
      <c r="E48" s="6">
        <f>862406+863006+934</f>
        <v>1726346</v>
      </c>
      <c r="F48" s="17">
        <f t="shared" si="0"/>
        <v>6.2484536819368015E-4</v>
      </c>
      <c r="G48" s="8">
        <v>67485</v>
      </c>
      <c r="H48" s="5">
        <v>4410</v>
      </c>
      <c r="I48" s="15">
        <v>22121</v>
      </c>
      <c r="J48" s="2">
        <v>1385600590</v>
      </c>
      <c r="K48" s="2">
        <v>2552076867</v>
      </c>
      <c r="L48" s="8">
        <v>1215012</v>
      </c>
      <c r="M48" s="2">
        <f>608510+604529+1</f>
        <v>1213040</v>
      </c>
      <c r="N48" s="18">
        <f t="shared" si="1"/>
        <v>4.7531483698057438E-4</v>
      </c>
      <c r="O48" s="1">
        <v>450</v>
      </c>
      <c r="P48" s="2">
        <v>5539</v>
      </c>
      <c r="Q48" s="2">
        <v>251</v>
      </c>
    </row>
    <row r="50" spans="4:8" x14ac:dyDescent="0.25">
      <c r="D50" s="11"/>
      <c r="G50" s="11"/>
      <c r="H50" s="11"/>
    </row>
    <row r="51" spans="4:8" x14ac:dyDescent="0.25">
      <c r="E51" s="11"/>
    </row>
  </sheetData>
  <mergeCells count="2">
    <mergeCell ref="B2:I2"/>
    <mergeCell ref="J2:P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Shriner, Daniel (NIH/NHGRI) [E]</dc:creator>
  <cp:lastModifiedBy>Shriner, Daniel (NIH/NHGRI) [E]</cp:lastModifiedBy>
  <cp:lastPrinted>2019-08-07T17:44:13Z</cp:lastPrinted>
  <dcterms:created xsi:type="dcterms:W3CDTF">2019-08-06T16:54:03Z</dcterms:created>
  <dcterms:modified xsi:type="dcterms:W3CDTF">2020-02-06T15:13:06Z</dcterms:modified>
</cp:coreProperties>
</file>